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боротная ведомость " sheetId="1" r:id="rId1"/>
  </sheets>
  <definedNames/>
  <calcPr fullCalcOnLoad="1"/>
</workbook>
</file>

<file path=xl/sharedStrings.xml><?xml version="1.0" encoding="utf-8"?>
<sst xmlns="http://schemas.openxmlformats.org/spreadsheetml/2006/main" count="12164" uniqueCount="3816">
  <si>
    <t>002.0.0290</t>
  </si>
  <si>
    <t>шкаф 2х  створч. б/у (04.2007г.)</t>
  </si>
  <si>
    <t>1261</t>
  </si>
  <si>
    <t>шкаф 3-х створ платяной б\у</t>
  </si>
  <si>
    <t>1262</t>
  </si>
  <si>
    <t>002.0.0019</t>
  </si>
  <si>
    <t>шкаф б/у</t>
  </si>
  <si>
    <t>1263</t>
  </si>
  <si>
    <t>010.6.0950</t>
  </si>
  <si>
    <t>Шкаф высокий ШФ 14,5 миланский орех</t>
  </si>
  <si>
    <t>1264</t>
  </si>
  <si>
    <t>063690010</t>
  </si>
  <si>
    <t>Шкаф для документации</t>
  </si>
  <si>
    <t>1265</t>
  </si>
  <si>
    <t>063690011</t>
  </si>
  <si>
    <t>1266</t>
  </si>
  <si>
    <t>106097</t>
  </si>
  <si>
    <t>Шкаф для метод. литер. со стеклом</t>
  </si>
  <si>
    <t>1267</t>
  </si>
  <si>
    <t>106100</t>
  </si>
  <si>
    <t>1268</t>
  </si>
  <si>
    <t>106098</t>
  </si>
  <si>
    <t>Шкаф для метод.литер. со стеклом</t>
  </si>
  <si>
    <t>1269</t>
  </si>
  <si>
    <t>106088</t>
  </si>
  <si>
    <t>Шкаф для наглядных пособий</t>
  </si>
  <si>
    <t>1270</t>
  </si>
  <si>
    <t>106089</t>
  </si>
  <si>
    <t>1271</t>
  </si>
  <si>
    <t>063610320</t>
  </si>
  <si>
    <t>Шкаф для наглядных пособий 860х384х1805 (ольха горная)(Гранд 2008)</t>
  </si>
  <si>
    <t>1272</t>
  </si>
  <si>
    <t>106023</t>
  </si>
  <si>
    <t>Шкаф для одежды</t>
  </si>
  <si>
    <t>1273</t>
  </si>
  <si>
    <t>106024</t>
  </si>
  <si>
    <t>1274</t>
  </si>
  <si>
    <t>106059</t>
  </si>
  <si>
    <t>1275</t>
  </si>
  <si>
    <t>063610171</t>
  </si>
  <si>
    <t>Шкаф для одежды 600х400х1950</t>
  </si>
  <si>
    <t>1276</t>
  </si>
  <si>
    <t>шкаф книжный (старый)</t>
  </si>
  <si>
    <t>1277</t>
  </si>
  <si>
    <t>002.0.0228</t>
  </si>
  <si>
    <t>шкаф книжный 2-х створчатый (2010)</t>
  </si>
  <si>
    <t>1278</t>
  </si>
  <si>
    <t>01630002</t>
  </si>
  <si>
    <t>Шкаф книжный б\у</t>
  </si>
  <si>
    <t>1279</t>
  </si>
  <si>
    <t>01630003</t>
  </si>
  <si>
    <t>1280</t>
  </si>
  <si>
    <t>002.0.0654</t>
  </si>
  <si>
    <t>шкаф медицинский</t>
  </si>
  <si>
    <t>1281</t>
  </si>
  <si>
    <t>063610207</t>
  </si>
  <si>
    <t>Шкаф навесной для документов (2008г.)</t>
  </si>
  <si>
    <t>1282</t>
  </si>
  <si>
    <t>063610170</t>
  </si>
  <si>
    <t>Шкаф стелаж закрытый 500х400х1950</t>
  </si>
  <si>
    <t>1283</t>
  </si>
  <si>
    <t>106102</t>
  </si>
  <si>
    <t>Шкаф стелаж открытый</t>
  </si>
  <si>
    <t>1284</t>
  </si>
  <si>
    <t>106103</t>
  </si>
  <si>
    <t>1285</t>
  </si>
  <si>
    <t>063610167</t>
  </si>
  <si>
    <t>Шкаф стелаж полуоткрытый 800х400х1950</t>
  </si>
  <si>
    <t>1286</t>
  </si>
  <si>
    <t>063610168</t>
  </si>
  <si>
    <t>1287</t>
  </si>
  <si>
    <t>063610169</t>
  </si>
  <si>
    <t>1288</t>
  </si>
  <si>
    <t>002.0.0018</t>
  </si>
  <si>
    <t>шкаф универсальный</t>
  </si>
  <si>
    <t>1289</t>
  </si>
  <si>
    <t>010.6.0369</t>
  </si>
  <si>
    <t>Шкаф ШАМ 12\680</t>
  </si>
  <si>
    <t>1290</t>
  </si>
  <si>
    <t>010.6.0434</t>
  </si>
  <si>
    <t>Шнур 16 прядный 6 мм пестрый (Вено)</t>
  </si>
  <si>
    <t>1291</t>
  </si>
  <si>
    <t>011.0.0029</t>
  </si>
  <si>
    <t>Шпатель для языка однораз.стер.</t>
  </si>
  <si>
    <t>1292</t>
  </si>
  <si>
    <t>002.0.0173</t>
  </si>
  <si>
    <t>штангенциркуль</t>
  </si>
  <si>
    <t>1293</t>
  </si>
  <si>
    <t>штативы разные</t>
  </si>
  <si>
    <t>1294</t>
  </si>
  <si>
    <t>002.0.0262</t>
  </si>
  <si>
    <t>штора  1,5х0,9 (11.05г.)</t>
  </si>
  <si>
    <t>1295</t>
  </si>
  <si>
    <t>002.0.0263</t>
  </si>
  <si>
    <t>штора 1,5х0,9 (11.2005г.)</t>
  </si>
  <si>
    <t>1296</t>
  </si>
  <si>
    <t>002.0.0240</t>
  </si>
  <si>
    <t>штора 1,6х3,0</t>
  </si>
  <si>
    <t>1297</t>
  </si>
  <si>
    <t>002.0.0241</t>
  </si>
  <si>
    <t>1298</t>
  </si>
  <si>
    <t>011.0.0050</t>
  </si>
  <si>
    <t>Штора из гард\тюл полотна 1,27х 2,7</t>
  </si>
  <si>
    <t>1299</t>
  </si>
  <si>
    <t>011.0.0002</t>
  </si>
  <si>
    <t>Штора из гард\тюл полотна 4,5х2,7</t>
  </si>
  <si>
    <t>1300</t>
  </si>
  <si>
    <t>штора плюшевая</t>
  </si>
  <si>
    <t>1301</t>
  </si>
  <si>
    <t>штора тюл. 1,67х1,5(09.06)</t>
  </si>
  <si>
    <t>1302</t>
  </si>
  <si>
    <t>штора тюл. 3,08х1,5 (09,06)</t>
  </si>
  <si>
    <t>1303</t>
  </si>
  <si>
    <t>штора тюл. 3.95х3 (09.2006)</t>
  </si>
  <si>
    <t>1304</t>
  </si>
  <si>
    <t>011.0.0051</t>
  </si>
  <si>
    <t>Штора тюлевая ( из 17 м) 1,3х2,83</t>
  </si>
  <si>
    <t>1305</t>
  </si>
  <si>
    <t>002.0.0649</t>
  </si>
  <si>
    <t>шторы 2,4х1,5</t>
  </si>
  <si>
    <t>1306</t>
  </si>
  <si>
    <t>шторы 4х3</t>
  </si>
  <si>
    <t>1307</t>
  </si>
  <si>
    <t>002.0.0005</t>
  </si>
  <si>
    <t>шторы тюлевые  2,5х5,7</t>
  </si>
  <si>
    <t>1308</t>
  </si>
  <si>
    <t>шторы тюлевые  3,0х1,5</t>
  </si>
  <si>
    <t>1309</t>
  </si>
  <si>
    <t>010.6.1047</t>
  </si>
  <si>
    <t>Щит басткетбольный с корзиной ( дек. 2010 )</t>
  </si>
  <si>
    <t>1310</t>
  </si>
  <si>
    <t>010.6.1049</t>
  </si>
  <si>
    <t>Щит басткетбольный тренировачный с фермой ( дек 2010)</t>
  </si>
  <si>
    <t>1311</t>
  </si>
  <si>
    <t>002.0.0655</t>
  </si>
  <si>
    <t>щит для метания</t>
  </si>
  <si>
    <t>1312</t>
  </si>
  <si>
    <t>010.6.1050</t>
  </si>
  <si>
    <t>Щит для метания в цель ( дек. 2010)</t>
  </si>
  <si>
    <t>1313</t>
  </si>
  <si>
    <t>010.6.0284</t>
  </si>
  <si>
    <t>Экологические проблемы России</t>
  </si>
  <si>
    <t>1314</t>
  </si>
  <si>
    <t>002.0.0487</t>
  </si>
  <si>
    <t>Экон. карта Китай, Германия (Гранд 06г.)</t>
  </si>
  <si>
    <t>1315</t>
  </si>
  <si>
    <t>002.0.0489</t>
  </si>
  <si>
    <t>эконом. карта Япония,Италия (Гранд 06г.)</t>
  </si>
  <si>
    <t>1316</t>
  </si>
  <si>
    <t>002.0.0410</t>
  </si>
  <si>
    <t>эл. двигатель лабораторный</t>
  </si>
  <si>
    <t>1317</t>
  </si>
  <si>
    <t>104001</t>
  </si>
  <si>
    <t>Эл. мармитка</t>
  </si>
  <si>
    <t>1318</t>
  </si>
  <si>
    <t>002.0.0236</t>
  </si>
  <si>
    <t>эл. мармитка</t>
  </si>
  <si>
    <t>1319</t>
  </si>
  <si>
    <t>002.0.0205</t>
  </si>
  <si>
    <t>эл. мегафон</t>
  </si>
  <si>
    <t>1320</t>
  </si>
  <si>
    <t>104013</t>
  </si>
  <si>
    <t>Эл. музыкальный инструмент</t>
  </si>
  <si>
    <t>1321</t>
  </si>
  <si>
    <t>104002</t>
  </si>
  <si>
    <t>Эл. плита</t>
  </si>
  <si>
    <t>1322</t>
  </si>
  <si>
    <t>002.0.0561</t>
  </si>
  <si>
    <t>эл. плита</t>
  </si>
  <si>
    <t>1323</t>
  </si>
  <si>
    <t>062930180</t>
  </si>
  <si>
    <t>Электрический счетчик  3-х фазный Меркурий 230АМ 02 10-100А 380В</t>
  </si>
  <si>
    <t>1324</t>
  </si>
  <si>
    <t>062930181</t>
  </si>
  <si>
    <t>Электрический счетчик ТРИО 5-10А 380М</t>
  </si>
  <si>
    <t>1325</t>
  </si>
  <si>
    <t>062930182</t>
  </si>
  <si>
    <t>1326</t>
  </si>
  <si>
    <t>104019</t>
  </si>
  <si>
    <t>электродрель</t>
  </si>
  <si>
    <t>1327</t>
  </si>
  <si>
    <t>002.0.0412</t>
  </si>
  <si>
    <t>электрометр</t>
  </si>
  <si>
    <t>1328</t>
  </si>
  <si>
    <t>002.0.0454</t>
  </si>
  <si>
    <t>Электроскопы (пара)(Гранд 06г.)</t>
  </si>
  <si>
    <t>1329</t>
  </si>
  <si>
    <t>062930013</t>
  </si>
  <si>
    <t>Электросушилка для рук</t>
  </si>
  <si>
    <t>1330</t>
  </si>
  <si>
    <t>062930012</t>
  </si>
  <si>
    <t>Электросушилка для рук GSX-2000</t>
  </si>
  <si>
    <t>1331</t>
  </si>
  <si>
    <t>002.0.0165</t>
  </si>
  <si>
    <t>электроутюг</t>
  </si>
  <si>
    <t>1332</t>
  </si>
  <si>
    <t>010.6.0283</t>
  </si>
  <si>
    <t>Электроэнеогетика России</t>
  </si>
  <si>
    <t>1333</t>
  </si>
  <si>
    <t>002.0.0481</t>
  </si>
  <si>
    <t>Юго-восточная Азия (Гранд 06г.)</t>
  </si>
  <si>
    <t>1334</t>
  </si>
  <si>
    <t>002.0.0482</t>
  </si>
  <si>
    <t>Юго-западная Азия ( Гранд 06г.)</t>
  </si>
  <si>
    <t>1335</t>
  </si>
  <si>
    <t>002.0.0480</t>
  </si>
  <si>
    <t>Южная Америка,физич. (Гранд 06г.)</t>
  </si>
  <si>
    <t>1336</t>
  </si>
  <si>
    <t>010.6.0259</t>
  </si>
  <si>
    <t>Южная Америка. Социально-экономическая карта</t>
  </si>
  <si>
    <t>1337</t>
  </si>
  <si>
    <t>010.6.0253</t>
  </si>
  <si>
    <t>Южная Америка.Физическая карта</t>
  </si>
  <si>
    <t>1338</t>
  </si>
  <si>
    <t>ядро 3 кг (05.2003г.))</t>
  </si>
  <si>
    <t>1339</t>
  </si>
  <si>
    <t>ядро 3 кг (акт рев.)</t>
  </si>
  <si>
    <t>1340</t>
  </si>
  <si>
    <t>ядро 4 кг (акт рев.)</t>
  </si>
  <si>
    <t>1341</t>
  </si>
  <si>
    <t>ядро 4кг (05.2003г.)</t>
  </si>
  <si>
    <t>1342</t>
  </si>
  <si>
    <t>ящик для каталогов</t>
  </si>
  <si>
    <t xml:space="preserve">Итого </t>
  </si>
  <si>
    <t>7 572</t>
  </si>
  <si>
    <t>Исполнитель:</t>
  </si>
  <si>
    <t>должность</t>
  </si>
  <si>
    <t>подпись</t>
  </si>
  <si>
    <t>Расшифровка подписи</t>
  </si>
  <si>
    <t>Главный бухгалтер:</t>
  </si>
  <si>
    <t>Сахарова О. В.</t>
  </si>
  <si>
    <t xml:space="preserve">  Стр. 1</t>
  </si>
  <si>
    <t>010.6.0587</t>
  </si>
  <si>
    <t>Мясорубка</t>
  </si>
  <si>
    <t>621</t>
  </si>
  <si>
    <t>002.0.0189</t>
  </si>
  <si>
    <t>мяч  в/больный</t>
  </si>
  <si>
    <t>622</t>
  </si>
  <si>
    <t>002.0.0184</t>
  </si>
  <si>
    <t>мяч  ф/б</t>
  </si>
  <si>
    <t>623</t>
  </si>
  <si>
    <t>010.6.0348</t>
  </si>
  <si>
    <t>мяч б/б № 5 (12.06г.)</t>
  </si>
  <si>
    <t>624</t>
  </si>
  <si>
    <t>002.0.0181</t>
  </si>
  <si>
    <t>мяч б\б 01.2005 г.</t>
  </si>
  <si>
    <t>625</t>
  </si>
  <si>
    <t>002.0.0588</t>
  </si>
  <si>
    <t>мяч басткетбол №7</t>
  </si>
  <si>
    <t>626</t>
  </si>
  <si>
    <t>1.013.6.0079</t>
  </si>
  <si>
    <t>Мяч басткетбольный ( дек. 2011)</t>
  </si>
  <si>
    <t>627</t>
  </si>
  <si>
    <t>1.013.6.0080</t>
  </si>
  <si>
    <t>Мяч басткетбольный ShalLing (дек. 2011)</t>
  </si>
  <si>
    <t>628</t>
  </si>
  <si>
    <t>106065</t>
  </si>
  <si>
    <t>Мяч в/б</t>
  </si>
  <si>
    <t>629</t>
  </si>
  <si>
    <t>106066</t>
  </si>
  <si>
    <t>630</t>
  </si>
  <si>
    <t>106230</t>
  </si>
  <si>
    <t>мяч в/б  gala (Гранд 2006)</t>
  </si>
  <si>
    <t>631</t>
  </si>
  <si>
    <t>002.0.0025</t>
  </si>
  <si>
    <t>мяч в/б (10.2006)</t>
  </si>
  <si>
    <t>632</t>
  </si>
  <si>
    <t>002.0.0642</t>
  </si>
  <si>
    <t>мяч в/б (акт рев.)</t>
  </si>
  <si>
    <t>633</t>
  </si>
  <si>
    <t>002.0.0212</t>
  </si>
  <si>
    <t>мяч в/б шитый полиур (11.2006)</t>
  </si>
  <si>
    <t>634</t>
  </si>
  <si>
    <t>010.6.1025</t>
  </si>
  <si>
    <t>Мяч волейбольный  синт. кожа (полиуретан)( дек.2010)</t>
  </si>
  <si>
    <t>635</t>
  </si>
  <si>
    <t>1.013.6.0077</t>
  </si>
  <si>
    <t>Мяч волейбольный GALA (дек. 2011)</t>
  </si>
  <si>
    <t>636</t>
  </si>
  <si>
    <t>002.0.0187</t>
  </si>
  <si>
    <t xml:space="preserve">мяч д/наст. тениса  </t>
  </si>
  <si>
    <t>637</t>
  </si>
  <si>
    <t>002.0.0213</t>
  </si>
  <si>
    <t>мяч д/наст.тен. (11.2006)</t>
  </si>
  <si>
    <t>638</t>
  </si>
  <si>
    <t>010.6.1024</t>
  </si>
  <si>
    <t>Мяч детский ( дек. 2010)</t>
  </si>
  <si>
    <t>639</t>
  </si>
  <si>
    <t>010.6.1026</t>
  </si>
  <si>
    <t>Мяч для метания резин. ( дек. 2010 )</t>
  </si>
  <si>
    <t>640</t>
  </si>
  <si>
    <t>010.6.1027</t>
  </si>
  <si>
    <t>Мяч массажный ежик D= 5 см ( дек. 2010)</t>
  </si>
  <si>
    <t>641</t>
  </si>
  <si>
    <t>010.6.1028</t>
  </si>
  <si>
    <t>Мяч массажный ежик D= 6 см ( дек. 2010)</t>
  </si>
  <si>
    <t>642</t>
  </si>
  <si>
    <t>010.6.1029</t>
  </si>
  <si>
    <t>Мяч массажный ежик D= 7 см ( дек. 2010)</t>
  </si>
  <si>
    <t>643</t>
  </si>
  <si>
    <t>010.6.1030</t>
  </si>
  <si>
    <t>Мяч массажный ежик D= 8 см ( дек. 2010)</t>
  </si>
  <si>
    <t>644</t>
  </si>
  <si>
    <t>010.6.1031</t>
  </si>
  <si>
    <t>Мяч массажный ежик D= 9 см ( дек. 2010)</t>
  </si>
  <si>
    <t>645</t>
  </si>
  <si>
    <t>002.0.0188</t>
  </si>
  <si>
    <t>мяч ф/б  01.2005г.</t>
  </si>
  <si>
    <t>646</t>
  </si>
  <si>
    <t>002.0.0657</t>
  </si>
  <si>
    <t>мяч ф/б № 5 полир. (Гранд 2006 г.)</t>
  </si>
  <si>
    <t>647</t>
  </si>
  <si>
    <t>002.0.0210</t>
  </si>
  <si>
    <t>мяч футбольный</t>
  </si>
  <si>
    <t>648</t>
  </si>
  <si>
    <t>010.6.1032</t>
  </si>
  <si>
    <t>Мяч футбольный  синт. кожа (полиуретан)( дек.2010)</t>
  </si>
  <si>
    <t>649</t>
  </si>
  <si>
    <t>1.013.6.0078</t>
  </si>
  <si>
    <t>Мяч футбольный MITRE ( дек. 2011)</t>
  </si>
  <si>
    <t>650</t>
  </si>
  <si>
    <t>мячи б/б</t>
  </si>
  <si>
    <t>651</t>
  </si>
  <si>
    <t>мячи б/б (акт рев.)</t>
  </si>
  <si>
    <t>652</t>
  </si>
  <si>
    <t>002.0.0015</t>
  </si>
  <si>
    <t xml:space="preserve">мячи д/метания </t>
  </si>
  <si>
    <t>653</t>
  </si>
  <si>
    <t>002.0.0127</t>
  </si>
  <si>
    <t>654</t>
  </si>
  <si>
    <t>002.0.0643</t>
  </si>
  <si>
    <t>мячи ф/б (акт рев.)</t>
  </si>
  <si>
    <t>655</t>
  </si>
  <si>
    <t>002.0.0460</t>
  </si>
  <si>
    <t>наб. палочек по электрост. ( Гранд 06г.</t>
  </si>
  <si>
    <t>656</t>
  </si>
  <si>
    <t>002.0.0453</t>
  </si>
  <si>
    <t>наб. пруж. с разл. жестк. (Гранд 06г.)</t>
  </si>
  <si>
    <t>657</t>
  </si>
  <si>
    <t>1.013.8.0003</t>
  </si>
  <si>
    <t>Набор  "Юный физик"</t>
  </si>
  <si>
    <t>658</t>
  </si>
  <si>
    <t>1.013.6.0007</t>
  </si>
  <si>
    <t>Набор  "Юный химик Start"</t>
  </si>
  <si>
    <t>659</t>
  </si>
  <si>
    <t>1.013.8.0002</t>
  </si>
  <si>
    <t>Набор  "Юный химик"</t>
  </si>
  <si>
    <t>660</t>
  </si>
  <si>
    <t>Набор " Свет и цвет"</t>
  </si>
  <si>
    <t>661</t>
  </si>
  <si>
    <t>06369006</t>
  </si>
  <si>
    <t>Набор " Тайны микробиологии.Царство грибов"</t>
  </si>
  <si>
    <t>662</t>
  </si>
  <si>
    <t>06369003</t>
  </si>
  <si>
    <t>Набор "Азбука парфюмера"</t>
  </si>
  <si>
    <t>663</t>
  </si>
  <si>
    <t>06369004</t>
  </si>
  <si>
    <t>Набор "Звездный мир"</t>
  </si>
  <si>
    <t>664</t>
  </si>
  <si>
    <t>1.013.6.0004</t>
  </si>
  <si>
    <t>Набор "Лазерное шоу"</t>
  </si>
  <si>
    <t>665</t>
  </si>
  <si>
    <t>1.013.8.0005</t>
  </si>
  <si>
    <t>Набор "Механика Галилео"</t>
  </si>
  <si>
    <t>666</t>
  </si>
  <si>
    <t>06369005</t>
  </si>
  <si>
    <t>Набор "Микромир в ЗД"</t>
  </si>
  <si>
    <t>667</t>
  </si>
  <si>
    <t>06369002</t>
  </si>
  <si>
    <t>Набор "Мир Левенгука"</t>
  </si>
  <si>
    <t>668</t>
  </si>
  <si>
    <t>1.013.6.0006</t>
  </si>
  <si>
    <t>НАБОР "СОЛНЕЧНЫЙ МОТОР"</t>
  </si>
  <si>
    <t>669</t>
  </si>
  <si>
    <t>013.6.0022</t>
  </si>
  <si>
    <t>Набор "Язык дельфинов"</t>
  </si>
  <si>
    <t>670</t>
  </si>
  <si>
    <t>002.0.0396</t>
  </si>
  <si>
    <t>набор гирей</t>
  </si>
  <si>
    <t>671</t>
  </si>
  <si>
    <t>002.0.0568</t>
  </si>
  <si>
    <t>набор д/резьбы по дереву</t>
  </si>
  <si>
    <t>672</t>
  </si>
  <si>
    <t>010.6.1033</t>
  </si>
  <si>
    <t>Набор для подвижных игр в контейнере ( 21 наименование)( дек. 2010 )</t>
  </si>
  <si>
    <t>673</t>
  </si>
  <si>
    <t>002.0.0569</t>
  </si>
  <si>
    <t>набор инструм. д/нарезки резьбы</t>
  </si>
  <si>
    <t>674</t>
  </si>
  <si>
    <t>106070</t>
  </si>
  <si>
    <t>Набор инструментов</t>
  </si>
  <si>
    <t>675</t>
  </si>
  <si>
    <t>106051</t>
  </si>
  <si>
    <t>Набор канатов</t>
  </si>
  <si>
    <t>676</t>
  </si>
  <si>
    <t>набор ключей</t>
  </si>
  <si>
    <t>677</t>
  </si>
  <si>
    <t>002.0.0385</t>
  </si>
  <si>
    <t>набор конденсаторов</t>
  </si>
  <si>
    <t>678</t>
  </si>
  <si>
    <t>Набор лабораторный " Механика"( 10 предм.)</t>
  </si>
  <si>
    <t>679</t>
  </si>
  <si>
    <t>002.0.0320</t>
  </si>
  <si>
    <t>набор моделей</t>
  </si>
  <si>
    <t>680</t>
  </si>
  <si>
    <t>002.0.0406</t>
  </si>
  <si>
    <t>набор по геометрич. оптике</t>
  </si>
  <si>
    <t>681</t>
  </si>
  <si>
    <t>002.0.0334</t>
  </si>
  <si>
    <t>набор по интерференции</t>
  </si>
  <si>
    <t>682</t>
  </si>
  <si>
    <t>002.0.0382</t>
  </si>
  <si>
    <t>набор по поляризации света</t>
  </si>
  <si>
    <t>683</t>
  </si>
  <si>
    <t>002.0.0338</t>
  </si>
  <si>
    <t>набор по радиотехнике</t>
  </si>
  <si>
    <t>684</t>
  </si>
  <si>
    <t>002.0.0457</t>
  </si>
  <si>
    <t>набор по электролизу ( Гранд 06г.)</t>
  </si>
  <si>
    <t>685</t>
  </si>
  <si>
    <t>002.0.0402</t>
  </si>
  <si>
    <t>набор полупроводников</t>
  </si>
  <si>
    <t>686</t>
  </si>
  <si>
    <t>010.6.0318</t>
  </si>
  <si>
    <t>Набор раздаточных образцов и коллекции горных пород и минералов</t>
  </si>
  <si>
    <t>687</t>
  </si>
  <si>
    <t>002.0.0268</t>
  </si>
  <si>
    <t>набор слесарный</t>
  </si>
  <si>
    <t>688</t>
  </si>
  <si>
    <t>010.6.0035</t>
  </si>
  <si>
    <t>набор столяра в сумке (Гранд 2006г.)</t>
  </si>
  <si>
    <t>689</t>
  </si>
  <si>
    <t>002.0.0022</t>
  </si>
  <si>
    <t>набор теннисный</t>
  </si>
  <si>
    <t>690</t>
  </si>
  <si>
    <t>002.0.0324</t>
  </si>
  <si>
    <t>набор цифр,букв,знаков (Гранд 06г.)</t>
  </si>
  <si>
    <t>691</t>
  </si>
  <si>
    <t>002.0.0335</t>
  </si>
  <si>
    <t>наборо разновесов</t>
  </si>
  <si>
    <t>692</t>
  </si>
  <si>
    <t>063690261</t>
  </si>
  <si>
    <t>Навес для качелей (акт рев.)</t>
  </si>
  <si>
    <t>693</t>
  </si>
  <si>
    <t>010.6.1034</t>
  </si>
  <si>
    <t>Наколенники волейбольные белые ( дек.2010)</t>
  </si>
  <si>
    <t>694</t>
  </si>
  <si>
    <t>010.6.0297</t>
  </si>
  <si>
    <t xml:space="preserve">Народы  России </t>
  </si>
  <si>
    <t>695</t>
  </si>
  <si>
    <t>010.6.0243</t>
  </si>
  <si>
    <t>народы мира</t>
  </si>
  <si>
    <t>696</t>
  </si>
  <si>
    <t>002.0.0628</t>
  </si>
  <si>
    <t>насос для мячей</t>
  </si>
  <si>
    <t>697</t>
  </si>
  <si>
    <t>002.0.0430</t>
  </si>
  <si>
    <t>насос Камовского</t>
  </si>
  <si>
    <t>698</t>
  </si>
  <si>
    <t>002.0.0428</t>
  </si>
  <si>
    <t>насос эл. ваккумный</t>
  </si>
  <si>
    <t>699</t>
  </si>
  <si>
    <t>002.0.0160</t>
  </si>
  <si>
    <t>ножницы</t>
  </si>
  <si>
    <t>700</t>
  </si>
  <si>
    <t>010.6.0617</t>
  </si>
  <si>
    <t>Ножницы</t>
  </si>
  <si>
    <t>701</t>
  </si>
  <si>
    <t>010.6.0615</t>
  </si>
  <si>
    <t>702</t>
  </si>
  <si>
    <t>010.6.0616</t>
  </si>
  <si>
    <t>703</t>
  </si>
  <si>
    <t>010.6.0618</t>
  </si>
  <si>
    <t>704</t>
  </si>
  <si>
    <t>002.0.0646</t>
  </si>
  <si>
    <t>ножницы по металлу 11.2004 г.</t>
  </si>
  <si>
    <t>705</t>
  </si>
  <si>
    <t>010.6.0446</t>
  </si>
  <si>
    <t>Ножовка</t>
  </si>
  <si>
    <t>706</t>
  </si>
  <si>
    <t>011.0.0014</t>
  </si>
  <si>
    <t>Ножовка по дер. (2009 г.)</t>
  </si>
  <si>
    <t>707</t>
  </si>
  <si>
    <t>011.0.0015</t>
  </si>
  <si>
    <t>Ножовка по дерев. (2009 г.)</t>
  </si>
  <si>
    <t>708</t>
  </si>
  <si>
    <t>011.0.0018</t>
  </si>
  <si>
    <t>ножовка по дереву</t>
  </si>
  <si>
    <t>709</t>
  </si>
  <si>
    <t>011.0.0013</t>
  </si>
  <si>
    <t>Ножовка по дереву (2009 г.)</t>
  </si>
  <si>
    <t>710</t>
  </si>
  <si>
    <t>010.6.0341</t>
  </si>
  <si>
    <t>ножовка по дереву 500мм ( Гранд 2006)</t>
  </si>
  <si>
    <t>711</t>
  </si>
  <si>
    <t xml:space="preserve">ножовка по металлу  </t>
  </si>
  <si>
    <t>712</t>
  </si>
  <si>
    <t>002.0.0171</t>
  </si>
  <si>
    <t>ножовка слесарная</t>
  </si>
  <si>
    <t>713</t>
  </si>
  <si>
    <t>011.0.0028</t>
  </si>
  <si>
    <t>Носилки брезентовые (2009г.)</t>
  </si>
  <si>
    <t>714</t>
  </si>
  <si>
    <t>носилки медицинские</t>
  </si>
  <si>
    <t>715</t>
  </si>
  <si>
    <t>1.013.6.0058</t>
  </si>
  <si>
    <t>Носилки медицинские мягкие</t>
  </si>
  <si>
    <t>716</t>
  </si>
  <si>
    <t>002.0.0129</t>
  </si>
  <si>
    <t>н-р  линз и зеркал</t>
  </si>
  <si>
    <t>717</t>
  </si>
  <si>
    <t>002.0.0134</t>
  </si>
  <si>
    <t>н-р гирь</t>
  </si>
  <si>
    <t>718</t>
  </si>
  <si>
    <t>002.0.0136</t>
  </si>
  <si>
    <t>н-р грузов</t>
  </si>
  <si>
    <t>719</t>
  </si>
  <si>
    <t>002.0.0121</t>
  </si>
  <si>
    <t>н-р линз и зеркал</t>
  </si>
  <si>
    <t>720</t>
  </si>
  <si>
    <t>002.0.0151</t>
  </si>
  <si>
    <t>н-р полупроводников</t>
  </si>
  <si>
    <t>721</t>
  </si>
  <si>
    <t>002.0.0574</t>
  </si>
  <si>
    <t>обвязка верхняя</t>
  </si>
  <si>
    <t>722</t>
  </si>
  <si>
    <t>002.0.0575</t>
  </si>
  <si>
    <t>обвязка нижняя</t>
  </si>
  <si>
    <t>723</t>
  </si>
  <si>
    <t>043310289</t>
  </si>
  <si>
    <t xml:space="preserve">Облучатель бактерицидный передвижной ОБП -450 (3 ЛАМПЫ Philips TUV 30W) </t>
  </si>
  <si>
    <t>724</t>
  </si>
  <si>
    <t>1.013.6.0056</t>
  </si>
  <si>
    <t>Облучатель ОУФБ-04 с лампой ДБК-9</t>
  </si>
  <si>
    <t>725</t>
  </si>
  <si>
    <t>010.6.1035</t>
  </si>
  <si>
    <t>Обруч металлич. d=750 мм ( дек. 2010)</t>
  </si>
  <si>
    <t>726</t>
  </si>
  <si>
    <t>010.6.1036</t>
  </si>
  <si>
    <t>Обруч металлич. d=800 мм ( дек. 2010)</t>
  </si>
  <si>
    <t>727</t>
  </si>
  <si>
    <t>010.6.1037</t>
  </si>
  <si>
    <t>Обруч металлич. d=900 мм ( дек. 2010)</t>
  </si>
  <si>
    <t>728</t>
  </si>
  <si>
    <t>002.0.0202</t>
  </si>
  <si>
    <t>обручи гимнастические</t>
  </si>
  <si>
    <t>729</t>
  </si>
  <si>
    <t>002.0.0641</t>
  </si>
  <si>
    <t>обручи гимнастические (акт рев.)</t>
  </si>
  <si>
    <t>730</t>
  </si>
  <si>
    <t>002.0.0426</t>
  </si>
  <si>
    <t>обьектив с оборотной призмой</t>
  </si>
  <si>
    <t>731</t>
  </si>
  <si>
    <t>106107</t>
  </si>
  <si>
    <t>Оверлог</t>
  </si>
  <si>
    <t>732</t>
  </si>
  <si>
    <t>огнетушители  10.2005г.</t>
  </si>
  <si>
    <t>733</t>
  </si>
  <si>
    <t>огнетушитель  ОП-4Г.  07.2004Г.</t>
  </si>
  <si>
    <t>734</t>
  </si>
  <si>
    <t>002.0.0260</t>
  </si>
  <si>
    <t>огнетушитель ОП-2  09.05г.</t>
  </si>
  <si>
    <t>735</t>
  </si>
  <si>
    <t>002.0.0274</t>
  </si>
  <si>
    <t>огнетушитель оп-4  06.2006г.</t>
  </si>
  <si>
    <t>736</t>
  </si>
  <si>
    <t>огнетушитель ОП-4г-АВС 07.04Г.</t>
  </si>
  <si>
    <t>737</t>
  </si>
  <si>
    <t>002.0.0242</t>
  </si>
  <si>
    <t>Огнетушитель ОП-5</t>
  </si>
  <si>
    <t>738</t>
  </si>
  <si>
    <t>002.0.0427</t>
  </si>
  <si>
    <t>омметр</t>
  </si>
  <si>
    <t>739</t>
  </si>
  <si>
    <t>002.0.0431</t>
  </si>
  <si>
    <t>оптическая скамья</t>
  </si>
  <si>
    <t>740</t>
  </si>
  <si>
    <t>002.0.0429</t>
  </si>
  <si>
    <t>осветитель д/теневой проекции</t>
  </si>
  <si>
    <t>741</t>
  </si>
  <si>
    <t>002.0.0140</t>
  </si>
  <si>
    <t>осветитель д\теневой проекции</t>
  </si>
  <si>
    <t>742</t>
  </si>
  <si>
    <t>002.0.0125</t>
  </si>
  <si>
    <t>осцилограф</t>
  </si>
  <si>
    <t>743</t>
  </si>
  <si>
    <t>002.0.0443</t>
  </si>
  <si>
    <t>осцилограф школьный</t>
  </si>
  <si>
    <t>744</t>
  </si>
  <si>
    <t>отвертка 11.204г.</t>
  </si>
  <si>
    <t>745</t>
  </si>
  <si>
    <t>061720254</t>
  </si>
  <si>
    <t>Палас 2,5х4,5  2008г.</t>
  </si>
  <si>
    <t>746</t>
  </si>
  <si>
    <t>002.0.0203</t>
  </si>
  <si>
    <t>палатка</t>
  </si>
  <si>
    <t>747</t>
  </si>
  <si>
    <t>106050</t>
  </si>
  <si>
    <t>Палатка Pamir</t>
  </si>
  <si>
    <t>748</t>
  </si>
  <si>
    <t>010.6.0363</t>
  </si>
  <si>
    <t>Палатка туристическая (2009 г.б\п бассейн)</t>
  </si>
  <si>
    <t>749</t>
  </si>
  <si>
    <t>011.0.0039</t>
  </si>
  <si>
    <t>Палатка туристическая (2010 г.дарен.)</t>
  </si>
  <si>
    <t>750</t>
  </si>
  <si>
    <t>002.0.0191</t>
  </si>
  <si>
    <t>палки лыжные</t>
  </si>
  <si>
    <t>751</t>
  </si>
  <si>
    <t>002.0.0012</t>
  </si>
  <si>
    <t>752</t>
  </si>
  <si>
    <t>002.0.0409</t>
  </si>
  <si>
    <t>палочка из стекла</t>
  </si>
  <si>
    <t>753</t>
  </si>
  <si>
    <t>002.0.0458</t>
  </si>
  <si>
    <t>палочка из стекла ПС (Гранд 06)</t>
  </si>
  <si>
    <t>754</t>
  </si>
  <si>
    <t>002.0.0614</t>
  </si>
  <si>
    <t>парта  ученич.( наша сборка)</t>
  </si>
  <si>
    <t>755</t>
  </si>
  <si>
    <t>002.0.0264</t>
  </si>
  <si>
    <t>парта ученическая (02.2006г.)</t>
  </si>
  <si>
    <t>756</t>
  </si>
  <si>
    <t>002.0.0085</t>
  </si>
  <si>
    <t>парта школьная 2-х местная (н. сб.)</t>
  </si>
  <si>
    <t>757</t>
  </si>
  <si>
    <t>002.0.0567</t>
  </si>
  <si>
    <t>паяльник</t>
  </si>
  <si>
    <t>758</t>
  </si>
  <si>
    <t>002.0.0397</t>
  </si>
  <si>
    <t>переключатель 2-х полюсной</t>
  </si>
  <si>
    <t>759</t>
  </si>
  <si>
    <t>печатные буквы</t>
  </si>
  <si>
    <t>760</t>
  </si>
  <si>
    <t>010.6.0343</t>
  </si>
  <si>
    <t>пианино "Ласточка"</t>
  </si>
  <si>
    <t>761</t>
  </si>
  <si>
    <t>1.013.6.0028</t>
  </si>
  <si>
    <t>Пианино ( стар.)</t>
  </si>
  <si>
    <t>762</t>
  </si>
  <si>
    <t>002.0.0217</t>
  </si>
  <si>
    <t>пианино сд/б радуга (09.06)</t>
  </si>
  <si>
    <t>763</t>
  </si>
  <si>
    <t>пила</t>
  </si>
  <si>
    <t>764</t>
  </si>
  <si>
    <t>002.0.0200</t>
  </si>
  <si>
    <t>пистолет стартовый</t>
  </si>
  <si>
    <t>765</t>
  </si>
  <si>
    <t>010.6.0975</t>
  </si>
  <si>
    <t>Плакат "Строевая плдготовка" 60х90см</t>
  </si>
  <si>
    <t>766</t>
  </si>
  <si>
    <t>010.6.0976</t>
  </si>
  <si>
    <t>Плакат "Физическа подготовка" 60х90см</t>
  </si>
  <si>
    <t>767</t>
  </si>
  <si>
    <t>010.6.0977</t>
  </si>
  <si>
    <t>Плакат по правилам дорожного движения 50х70см</t>
  </si>
  <si>
    <t>768</t>
  </si>
  <si>
    <t>010.6.0978</t>
  </si>
  <si>
    <t>Плакат по правилам пожарной безопасности 50х70 см</t>
  </si>
  <si>
    <t>769</t>
  </si>
  <si>
    <t>010.6.0979</t>
  </si>
  <si>
    <t>Плакаты "Действия при отравлении ядовитыми веществами" (11шт.А-3)</t>
  </si>
  <si>
    <t>770</t>
  </si>
  <si>
    <t>010.6.0980</t>
  </si>
  <si>
    <t>Плакаты "Защитные сооружения ГО" (10 пл. 30Х41 см)</t>
  </si>
  <si>
    <t>771</t>
  </si>
  <si>
    <t>010.6.0981</t>
  </si>
  <si>
    <t>Плакаты "Здоровый образ жизни. Личная гигиена"(9 пл. А-3)</t>
  </si>
  <si>
    <t>772</t>
  </si>
  <si>
    <t>010.6.0982</t>
  </si>
  <si>
    <t>Плакаты "Здоровый образ жизни. Укрепление здоровья"(11 пл. А-3)</t>
  </si>
  <si>
    <t>773</t>
  </si>
  <si>
    <t>010.6.0983</t>
  </si>
  <si>
    <t>Плакаты "Меры по противоздействию терроризму"( 11 пл. А-3)</t>
  </si>
  <si>
    <t>774</t>
  </si>
  <si>
    <t>010.6.0984</t>
  </si>
  <si>
    <t>Плакаты "Уголок гражданской защиты"( 10 пл. 30х41 см)</t>
  </si>
  <si>
    <t>775</t>
  </si>
  <si>
    <t>010.6.0985</t>
  </si>
  <si>
    <t>Плакаты "Уголок пожарной безопасности"( 9 пл. А-3)</t>
  </si>
  <si>
    <t>776</t>
  </si>
  <si>
    <t>106067</t>
  </si>
  <si>
    <t>Планка для прыжков</t>
  </si>
  <si>
    <t>777</t>
  </si>
  <si>
    <t>010.6.0276</t>
  </si>
  <si>
    <t>Плотность населения России</t>
  </si>
  <si>
    <t>778</t>
  </si>
  <si>
    <t>010.6.0290</t>
  </si>
  <si>
    <t>Поволжье.Социально-экономическая карта</t>
  </si>
  <si>
    <t>779</t>
  </si>
  <si>
    <t>010.6.0289</t>
  </si>
  <si>
    <t>Поволжье.Физическая карта.</t>
  </si>
  <si>
    <t>780</t>
  </si>
  <si>
    <t>подвижные цифры</t>
  </si>
  <si>
    <t>781</t>
  </si>
  <si>
    <t>002.0.0620</t>
  </si>
  <si>
    <t>подставка д/цвет. (10.2006)</t>
  </si>
  <si>
    <t>782</t>
  </si>
  <si>
    <t>010.6.0415</t>
  </si>
  <si>
    <t>Подставка под системный блок (2008г)</t>
  </si>
  <si>
    <t>783</t>
  </si>
  <si>
    <t>010.6.0621</t>
  </si>
  <si>
    <t>Подставка под системный блок 282х530х750</t>
  </si>
  <si>
    <t>784</t>
  </si>
  <si>
    <t>010.6.0231</t>
  </si>
  <si>
    <t>Подставка под системный блок 285х530х250</t>
  </si>
  <si>
    <t>785</t>
  </si>
  <si>
    <t>002.0.0488</t>
  </si>
  <si>
    <t>политич. карта Великобритании</t>
  </si>
  <si>
    <t>786</t>
  </si>
  <si>
    <t>010.6.0247</t>
  </si>
  <si>
    <t xml:space="preserve">политическая карта мира/ политическая карта мира, контурная </t>
  </si>
  <si>
    <t>787</t>
  </si>
  <si>
    <t>063310389</t>
  </si>
  <si>
    <t>Полка для медикаментов ( 2008г.)</t>
  </si>
  <si>
    <t>788</t>
  </si>
  <si>
    <t>063310395</t>
  </si>
  <si>
    <t>789</t>
  </si>
  <si>
    <t>002.0.0244</t>
  </si>
  <si>
    <t>полка книжная б\у</t>
  </si>
  <si>
    <t>790</t>
  </si>
  <si>
    <t>010.6.0338</t>
  </si>
  <si>
    <t>полки д/книг</t>
  </si>
  <si>
    <t>791</t>
  </si>
  <si>
    <t>011.0.0036</t>
  </si>
  <si>
    <t>Половник  Vetta</t>
  </si>
  <si>
    <t>792</t>
  </si>
  <si>
    <t>портреты композиторов</t>
  </si>
  <si>
    <t>793</t>
  </si>
  <si>
    <t>002.0.0234</t>
  </si>
  <si>
    <t>794</t>
  </si>
  <si>
    <t>011.0.0048</t>
  </si>
  <si>
    <t>Пособие (диски) "ЧП Ю и Р" 1-3 ч. по ОБЖ для нач.шк.</t>
  </si>
  <si>
    <t>795</t>
  </si>
  <si>
    <t>010.6.0241</t>
  </si>
  <si>
    <t>почвенная карта мира</t>
  </si>
  <si>
    <t>796</t>
  </si>
  <si>
    <t>010.6.0271</t>
  </si>
  <si>
    <t>Почвенная карта России</t>
  </si>
  <si>
    <t>797</t>
  </si>
  <si>
    <t>010.6.0340</t>
  </si>
  <si>
    <t>п-р д/опред.механ.св-в матер.</t>
  </si>
  <si>
    <t>798</t>
  </si>
  <si>
    <t>п-р для изучения закона Ньютона</t>
  </si>
  <si>
    <t>799</t>
  </si>
  <si>
    <t>002.0.0105</t>
  </si>
  <si>
    <t>п-р поляризации света</t>
  </si>
  <si>
    <t>800</t>
  </si>
  <si>
    <t>002.0.0106</t>
  </si>
  <si>
    <t>п-р сохранения импульса</t>
  </si>
  <si>
    <t>801</t>
  </si>
  <si>
    <t>002.0.0333</t>
  </si>
  <si>
    <t>прибор д/дем. свойств газа</t>
  </si>
  <si>
    <t>802</t>
  </si>
  <si>
    <t>002.0.0399</t>
  </si>
  <si>
    <t>прибор д/определения мощности</t>
  </si>
  <si>
    <t>803</t>
  </si>
  <si>
    <t>002.0.0331</t>
  </si>
  <si>
    <t>прибор д/опытов с эл. током</t>
  </si>
  <si>
    <t>804</t>
  </si>
  <si>
    <t>002.0.0330</t>
  </si>
  <si>
    <t>прибор д/хим.кабинета</t>
  </si>
  <si>
    <t>805</t>
  </si>
  <si>
    <t>002.0.0154</t>
  </si>
  <si>
    <t>прибор д\изуч. деформации</t>
  </si>
  <si>
    <t>806</t>
  </si>
  <si>
    <t>002.0.0153</t>
  </si>
  <si>
    <t>прибор дем. невесомости</t>
  </si>
  <si>
    <t>807</t>
  </si>
  <si>
    <t>Прибор для выжигания по дереву "Вязь"</t>
  </si>
  <si>
    <t>808</t>
  </si>
  <si>
    <t>002.0.0336</t>
  </si>
  <si>
    <t>прибор для изучения механич. ударов</t>
  </si>
  <si>
    <t>809</t>
  </si>
  <si>
    <t>прибор определения мощности</t>
  </si>
  <si>
    <t>810</t>
  </si>
  <si>
    <t>002.0.0384</t>
  </si>
  <si>
    <t>прибор по статике</t>
  </si>
  <si>
    <t>811</t>
  </si>
  <si>
    <t>002.0.0572</t>
  </si>
  <si>
    <t>приборы ВПХР</t>
  </si>
  <si>
    <t>812</t>
  </si>
  <si>
    <t>002.0.0414</t>
  </si>
  <si>
    <t>призма прямого зрения</t>
  </si>
  <si>
    <t>813</t>
  </si>
  <si>
    <t>010.6.0240</t>
  </si>
  <si>
    <t>природные зоны мира</t>
  </si>
  <si>
    <t>814</t>
  </si>
  <si>
    <t>010.6.0270</t>
  </si>
  <si>
    <t>Природные зоны России</t>
  </si>
  <si>
    <t>815</t>
  </si>
  <si>
    <t>1.013.4.0032</t>
  </si>
  <si>
    <t>Проигрыватель DVD Samsung DVD-D530K (дек. 2011)</t>
  </si>
  <si>
    <t>816</t>
  </si>
  <si>
    <t>010.4.0260</t>
  </si>
  <si>
    <t>проигрыватель DVD Toshiba SDK1000KR (дек. 2010)</t>
  </si>
  <si>
    <t>817</t>
  </si>
  <si>
    <t>002.0.0413</t>
  </si>
  <si>
    <t>психрометр аспирационный</t>
  </si>
  <si>
    <t>818</t>
  </si>
  <si>
    <t>011.0.0031</t>
  </si>
  <si>
    <t>Пузырь для льда</t>
  </si>
  <si>
    <t>819</t>
  </si>
  <si>
    <t>002.0.0348</t>
  </si>
  <si>
    <t>радиометр</t>
  </si>
  <si>
    <t>820</t>
  </si>
  <si>
    <t>002.0.0566</t>
  </si>
  <si>
    <t>разметочн. устр. к штангенцирк.</t>
  </si>
  <si>
    <t>821</t>
  </si>
  <si>
    <t>002.0.0120</t>
  </si>
  <si>
    <t>разновесы</t>
  </si>
  <si>
    <t>822</t>
  </si>
  <si>
    <t>002.0.0141</t>
  </si>
  <si>
    <t>разрез паровой машины</t>
  </si>
  <si>
    <t>823</t>
  </si>
  <si>
    <t>002.0.0681</t>
  </si>
  <si>
    <t>ракетка для бадм.</t>
  </si>
  <si>
    <t>824</t>
  </si>
  <si>
    <t>002.0.0680</t>
  </si>
  <si>
    <t>ракетка для бадментона</t>
  </si>
  <si>
    <t>825</t>
  </si>
  <si>
    <t>002.0.0023</t>
  </si>
  <si>
    <t>ракетка для бадментона (акт рев.)</t>
  </si>
  <si>
    <t>826</t>
  </si>
  <si>
    <t>рамка вращения с током</t>
  </si>
  <si>
    <t>827</t>
  </si>
  <si>
    <t>010.6.0272</t>
  </si>
  <si>
    <t>Растительность России</t>
  </si>
  <si>
    <t>828</t>
  </si>
  <si>
    <t>010.6.0275</t>
  </si>
  <si>
    <t>Религии народов России</t>
  </si>
  <si>
    <t>829</t>
  </si>
  <si>
    <t>002.0.0143</t>
  </si>
  <si>
    <t>реостат ползунковский</t>
  </si>
  <si>
    <t>830</t>
  </si>
  <si>
    <t>002.0.0365</t>
  </si>
  <si>
    <t>831</t>
  </si>
  <si>
    <t>002.0.0468</t>
  </si>
  <si>
    <t>Реостат РП-6 (Гранд 06Г.)</t>
  </si>
  <si>
    <t>832</t>
  </si>
  <si>
    <t>002.0.0114</t>
  </si>
  <si>
    <t>реостат рычажной</t>
  </si>
  <si>
    <t>833</t>
  </si>
  <si>
    <t>002.0.0148</t>
  </si>
  <si>
    <t>реостат ступенчатый</t>
  </si>
  <si>
    <t>834</t>
  </si>
  <si>
    <t>002.0.0351</t>
  </si>
  <si>
    <t>реохорд демонстрационный</t>
  </si>
  <si>
    <t>835</t>
  </si>
  <si>
    <t>010.6.0302</t>
  </si>
  <si>
    <t>Российская Федерация/Российская Федерация, контурная</t>
  </si>
  <si>
    <t>836</t>
  </si>
  <si>
    <t>010.6.0277</t>
  </si>
  <si>
    <t>Россия.Социально-экономическая карта</t>
  </si>
  <si>
    <t>837</t>
  </si>
  <si>
    <t>010.6.0359</t>
  </si>
  <si>
    <t>Ростомер ( стульчик металл)</t>
  </si>
  <si>
    <t>838</t>
  </si>
  <si>
    <t>002.0.0172</t>
  </si>
  <si>
    <t>рубанки</t>
  </si>
  <si>
    <t>839</t>
  </si>
  <si>
    <t>002.0.0563</t>
  </si>
  <si>
    <t>рубанок деревянный</t>
  </si>
  <si>
    <t>840</t>
  </si>
  <si>
    <t>рукав пожарный 12.2004г.</t>
  </si>
  <si>
    <t>841</t>
  </si>
  <si>
    <t>010.6.0310</t>
  </si>
  <si>
    <t>Рулетка</t>
  </si>
  <si>
    <t>842</t>
  </si>
  <si>
    <t>рулетка  5м 06.06г.</t>
  </si>
  <si>
    <t>843</t>
  </si>
  <si>
    <t>002.0.0186</t>
  </si>
  <si>
    <t>рулетка 10м  01.2005г.</t>
  </si>
  <si>
    <t>844</t>
  </si>
  <si>
    <t>002.0.0193</t>
  </si>
  <si>
    <t>рюкзак</t>
  </si>
  <si>
    <t>845</t>
  </si>
  <si>
    <t>002.0.0078</t>
  </si>
  <si>
    <t>СD английский на каждый день</t>
  </si>
  <si>
    <t>846</t>
  </si>
  <si>
    <t>002.0.0033</t>
  </si>
  <si>
    <t>СD энцикл. животных</t>
  </si>
  <si>
    <t>847</t>
  </si>
  <si>
    <t>002.0.0049</t>
  </si>
  <si>
    <t>СВ Карл Брюллов</t>
  </si>
  <si>
    <t>848</t>
  </si>
  <si>
    <t>002.0.0257</t>
  </si>
  <si>
    <t>свет ЛВО 4 18595 (07.2005)</t>
  </si>
  <si>
    <t>849</t>
  </si>
  <si>
    <t>002.0.0276</t>
  </si>
  <si>
    <t>светильник  (09.2006г.)</t>
  </si>
  <si>
    <t>850</t>
  </si>
  <si>
    <t>светильник  11.2004</t>
  </si>
  <si>
    <t>851</t>
  </si>
  <si>
    <t>светильник  НББ</t>
  </si>
  <si>
    <t>852</t>
  </si>
  <si>
    <t>002.0.0617</t>
  </si>
  <si>
    <t>светильник  НББ 02-25</t>
  </si>
  <si>
    <t>853</t>
  </si>
  <si>
    <t>002.0.0305</t>
  </si>
  <si>
    <t>светильник (09.2007Г.)</t>
  </si>
  <si>
    <t>854</t>
  </si>
  <si>
    <t>011.0.0019</t>
  </si>
  <si>
    <t>Светильник REL-2058 В 1*20W AC DC</t>
  </si>
  <si>
    <t>855</t>
  </si>
  <si>
    <t>002.0.0663</t>
  </si>
  <si>
    <t>светильник TL18 08.2006г.</t>
  </si>
  <si>
    <t>856</t>
  </si>
  <si>
    <t>1.013.6.0051</t>
  </si>
  <si>
    <t>Светильник в комплекте ( 07.2011г.)</t>
  </si>
  <si>
    <t>857</t>
  </si>
  <si>
    <t>светильник висяч.</t>
  </si>
  <si>
    <t>858</t>
  </si>
  <si>
    <t>светильник ЛКО кососвет с кронш.2006 г.</t>
  </si>
  <si>
    <t>859</t>
  </si>
  <si>
    <t>светильник ЛПБ (12.2006)</t>
  </si>
  <si>
    <t>860</t>
  </si>
  <si>
    <t>002.0.0633</t>
  </si>
  <si>
    <t xml:space="preserve">Светильник ЛПО 001 2Х40 ЭПРА </t>
  </si>
  <si>
    <t>861</t>
  </si>
  <si>
    <t>010.6.1004</t>
  </si>
  <si>
    <t>Светильник ЛПО 01 2Х36 с ЭПРА в комплекте(2010 г)</t>
  </si>
  <si>
    <t>862</t>
  </si>
  <si>
    <t>1.013.8.0007</t>
  </si>
  <si>
    <t xml:space="preserve">Светильник ЛПО 2Х36 ТЕНОЛЮКС Р54 дрос. ( сент. 2011) </t>
  </si>
  <si>
    <t>863</t>
  </si>
  <si>
    <t>011.0.0025</t>
  </si>
  <si>
    <t>Светильник ЛПО 3017 2Х36  (28.09.09г)</t>
  </si>
  <si>
    <t>864</t>
  </si>
  <si>
    <t>002.0.0251</t>
  </si>
  <si>
    <t>светильник ЛПО 4Х18635 11.04Г.</t>
  </si>
  <si>
    <t>865</t>
  </si>
  <si>
    <t>светильник ЛПО 71-4 (06.07г.)</t>
  </si>
  <si>
    <t>866</t>
  </si>
  <si>
    <t>002.0.0304</t>
  </si>
  <si>
    <t>Светильник ЛПО 714х18сЭПРО (08.2007Г.)</t>
  </si>
  <si>
    <t>867</t>
  </si>
  <si>
    <t>002.0.0303</t>
  </si>
  <si>
    <t>светильник ЛПО71 (09.2007Г.)</t>
  </si>
  <si>
    <t>868</t>
  </si>
  <si>
    <t>010.6.0613</t>
  </si>
  <si>
    <t>Светильник настольный  Leon 291012 Viromax</t>
  </si>
  <si>
    <t>869</t>
  </si>
  <si>
    <t xml:space="preserve">светильник НБО-60 цветы прозр.3.06 </t>
  </si>
  <si>
    <t>870</t>
  </si>
  <si>
    <t>002.0.0275</t>
  </si>
  <si>
    <t>светильник нсо-17  (09.2006г.)</t>
  </si>
  <si>
    <t>871</t>
  </si>
  <si>
    <t>002.0.0270</t>
  </si>
  <si>
    <t>светильник с отр. лампами  2006г.</t>
  </si>
  <si>
    <t>872</t>
  </si>
  <si>
    <t>002.0.0293</t>
  </si>
  <si>
    <t>светильник с отраж.ламп (05.2007г.)</t>
  </si>
  <si>
    <t>873</t>
  </si>
  <si>
    <t>светильники</t>
  </si>
  <si>
    <t>874</t>
  </si>
  <si>
    <t>002.0.0652</t>
  </si>
  <si>
    <t>светильники 08.2003г.</t>
  </si>
  <si>
    <t>875</t>
  </si>
  <si>
    <t>светильники вис.</t>
  </si>
  <si>
    <t>876</t>
  </si>
  <si>
    <t>светильники НСО "Шар"</t>
  </si>
  <si>
    <t>877</t>
  </si>
  <si>
    <t>010.6.0258</t>
  </si>
  <si>
    <t>Северная Америка. Социально-экономическая карта</t>
  </si>
  <si>
    <t>878</t>
  </si>
  <si>
    <t>сейф металлический</t>
  </si>
  <si>
    <t>879</t>
  </si>
  <si>
    <t>011.0.0012</t>
  </si>
  <si>
    <t>Секатор</t>
  </si>
  <si>
    <t>880</t>
  </si>
  <si>
    <t>002.0.0111</t>
  </si>
  <si>
    <t>секундомер</t>
  </si>
  <si>
    <t>881</t>
  </si>
  <si>
    <t>002.0.0178</t>
  </si>
  <si>
    <t>882</t>
  </si>
  <si>
    <t>010.6.1038</t>
  </si>
  <si>
    <t>Секундомер профессиональный ( дек. 2010)</t>
  </si>
  <si>
    <t>883</t>
  </si>
  <si>
    <t>002.0.0185</t>
  </si>
  <si>
    <t>секундомер электр.01.2005г.</t>
  </si>
  <si>
    <t>884</t>
  </si>
  <si>
    <t>002.0.0238</t>
  </si>
  <si>
    <t>секция с дверцами</t>
  </si>
  <si>
    <t>885</t>
  </si>
  <si>
    <t>002.0.0239</t>
  </si>
  <si>
    <t>секция с ящиками</t>
  </si>
  <si>
    <t>886</t>
  </si>
  <si>
    <t>002.0.0282</t>
  </si>
  <si>
    <t>сенсорно-дидакт. кресты (Гранд 2006г.)</t>
  </si>
  <si>
    <t>887</t>
  </si>
  <si>
    <t>104011</t>
  </si>
  <si>
    <t>Сетевой коммутатор на 8 комп.</t>
  </si>
  <si>
    <t>888</t>
  </si>
  <si>
    <t>104012</t>
  </si>
  <si>
    <t>889</t>
  </si>
  <si>
    <t>000.0.0000</t>
  </si>
  <si>
    <t>Сетевой фильтр на 6 розеток (передача)</t>
  </si>
  <si>
    <t>890</t>
  </si>
  <si>
    <t>002.0.0183</t>
  </si>
  <si>
    <t>сетка  б/б 01.2005г.</t>
  </si>
  <si>
    <t>891</t>
  </si>
  <si>
    <t>002.0.0656</t>
  </si>
  <si>
    <t>сетка басткетбольная</t>
  </si>
  <si>
    <t>892</t>
  </si>
  <si>
    <t>010.6.1039</t>
  </si>
  <si>
    <t>Сетка басткетбольная ( дек. 2010)</t>
  </si>
  <si>
    <t>893</t>
  </si>
  <si>
    <t>002.0.0653</t>
  </si>
  <si>
    <t xml:space="preserve">сетка в/б </t>
  </si>
  <si>
    <t>894</t>
  </si>
  <si>
    <t>002.0.0027</t>
  </si>
  <si>
    <t>сетка в/б белая</t>
  </si>
  <si>
    <t>895</t>
  </si>
  <si>
    <t>сетка по элект.</t>
  </si>
  <si>
    <t>896</t>
  </si>
  <si>
    <t>002.0.0190</t>
  </si>
  <si>
    <t>скакалка</t>
  </si>
  <si>
    <t>897</t>
  </si>
  <si>
    <t>002.0.0640</t>
  </si>
  <si>
    <t>скакалка (акт рев.)</t>
  </si>
  <si>
    <t>898</t>
  </si>
  <si>
    <t>010.6.1040</t>
  </si>
  <si>
    <t>Скакалка L =1,8 м ( дек. 2010)</t>
  </si>
  <si>
    <t>899</t>
  </si>
  <si>
    <t>010.6.1041</t>
  </si>
  <si>
    <t>Скакалка L =2,8 м ( дек. 2010)</t>
  </si>
  <si>
    <t>900</t>
  </si>
  <si>
    <t>010.6.1042</t>
  </si>
  <si>
    <t>Скакалка L =3,8 м ( дек. 2010)</t>
  </si>
  <si>
    <t>901</t>
  </si>
  <si>
    <t>002.0.0020</t>
  </si>
  <si>
    <t>скакалки (05,2003г)</t>
  </si>
  <si>
    <t>902</t>
  </si>
  <si>
    <t>002.0.0271</t>
  </si>
  <si>
    <t>скамейка 3х местная ( 2006г.)</t>
  </si>
  <si>
    <t>903</t>
  </si>
  <si>
    <t>106039</t>
  </si>
  <si>
    <t>Скамейка гимнастическая</t>
  </si>
  <si>
    <t>904</t>
  </si>
  <si>
    <t>002.0.0179</t>
  </si>
  <si>
    <t>скамейка гимнастическая</t>
  </si>
  <si>
    <t>905</t>
  </si>
  <si>
    <t>010.6.1043</t>
  </si>
  <si>
    <t>Скамейка гимнастическая 2500х230х300 ( дек. 2010)</t>
  </si>
  <si>
    <t>906</t>
  </si>
  <si>
    <t>спектроскоп</t>
  </si>
  <si>
    <t>907</t>
  </si>
  <si>
    <t>002.0.0332</t>
  </si>
  <si>
    <t>спектроскоп 2-х трубный</t>
  </si>
  <si>
    <t>908</t>
  </si>
  <si>
    <t>справочник по питанию (12.2006)</t>
  </si>
  <si>
    <t>909</t>
  </si>
  <si>
    <t>002.0.0456</t>
  </si>
  <si>
    <t>стакан отливной (Гранд 06г.)</t>
  </si>
  <si>
    <t>910</t>
  </si>
  <si>
    <t>ствол РС-50П   12.2004г.</t>
  </si>
  <si>
    <t>911</t>
  </si>
  <si>
    <t>стелаж 01.2004г.</t>
  </si>
  <si>
    <t>912</t>
  </si>
  <si>
    <t>002.0.0221</t>
  </si>
  <si>
    <t>стелаж д/книг (10.2006) директ.</t>
  </si>
  <si>
    <t>913</t>
  </si>
  <si>
    <t>002.0.0695</t>
  </si>
  <si>
    <t>стелаж д\книг (10.2006)  директ.</t>
  </si>
  <si>
    <t>914</t>
  </si>
  <si>
    <t>106087</t>
  </si>
  <si>
    <t>Стелаж детский</t>
  </si>
  <si>
    <t>915</t>
  </si>
  <si>
    <t>106086</t>
  </si>
  <si>
    <t xml:space="preserve">Стелаж детский </t>
  </si>
  <si>
    <t>916</t>
  </si>
  <si>
    <t>002.0.0252</t>
  </si>
  <si>
    <t xml:space="preserve">стелажи (жел.) </t>
  </si>
  <si>
    <t>917</t>
  </si>
  <si>
    <t>002.0.0008</t>
  </si>
  <si>
    <t>стелажи д-библиотеки</t>
  </si>
  <si>
    <t>918</t>
  </si>
  <si>
    <t>002.0.0233</t>
  </si>
  <si>
    <t>стелажи одностворчатые</t>
  </si>
  <si>
    <t>919</t>
  </si>
  <si>
    <t>106020</t>
  </si>
  <si>
    <t>Стенд</t>
  </si>
  <si>
    <t>920</t>
  </si>
  <si>
    <t>106021</t>
  </si>
  <si>
    <t>Стенд " Аллея выпускников "</t>
  </si>
  <si>
    <t>921</t>
  </si>
  <si>
    <t>063690240</t>
  </si>
  <si>
    <t>Стенд " Алфавит" (Гранд 2008)</t>
  </si>
  <si>
    <t>922</t>
  </si>
  <si>
    <t>106148</t>
  </si>
  <si>
    <t>Стенд " Будь здоров " (Гранд 2006)</t>
  </si>
  <si>
    <t>923</t>
  </si>
  <si>
    <t>002.0.0692</t>
  </si>
  <si>
    <t>Стенд " Математика"</t>
  </si>
  <si>
    <t>924</t>
  </si>
  <si>
    <t>106120</t>
  </si>
  <si>
    <t>Стенд " Уголок здоровья" (Гранд 2006)</t>
  </si>
  <si>
    <t>925</t>
  </si>
  <si>
    <t>106056</t>
  </si>
  <si>
    <t>Стенд " Школьный калейдоскоп"</t>
  </si>
  <si>
    <t>926</t>
  </si>
  <si>
    <t>106158</t>
  </si>
  <si>
    <t>Стенд "Аттестация учащихся" (Гранд 2006)</t>
  </si>
  <si>
    <t>927</t>
  </si>
  <si>
    <t>106152</t>
  </si>
  <si>
    <t>Стенд "Береги себя" (Гранд 2006)</t>
  </si>
  <si>
    <t>928</t>
  </si>
  <si>
    <t>106140</t>
  </si>
  <si>
    <t>Стенд "Вернисаж" ( Гранд 2006)</t>
  </si>
  <si>
    <t>929</t>
  </si>
  <si>
    <t>106137</t>
  </si>
  <si>
    <t>Стенд "Для творческих работ" (Гранд 2006)</t>
  </si>
  <si>
    <t>930</t>
  </si>
  <si>
    <t>106138</t>
  </si>
  <si>
    <t>Стенд "ЕГЭ №2" (Гранд 2006)</t>
  </si>
  <si>
    <t>931</t>
  </si>
  <si>
    <t>106149</t>
  </si>
  <si>
    <t>Стенд "Закаляйся" (Гранд 2006)</t>
  </si>
  <si>
    <t>932</t>
  </si>
  <si>
    <t>106132</t>
  </si>
  <si>
    <t xml:space="preserve">Стенд "Информатика" (с логотип.) (Гранд 2006) </t>
  </si>
  <si>
    <t>933</t>
  </si>
  <si>
    <t>106121</t>
  </si>
  <si>
    <t xml:space="preserve">Стенд "Меню №1" с наклейками (Гранд 2006) </t>
  </si>
  <si>
    <t>934</t>
  </si>
  <si>
    <t>106125</t>
  </si>
  <si>
    <t>Стенд "Методработа" (Гранд 2006)</t>
  </si>
  <si>
    <t>935</t>
  </si>
  <si>
    <t>002.0.0301</t>
  </si>
  <si>
    <t>стенд "Музей"</t>
  </si>
  <si>
    <t>936</t>
  </si>
  <si>
    <t>106126</t>
  </si>
  <si>
    <t>Стенд "Наш класс №2" (Гранд 2006)</t>
  </si>
  <si>
    <t>937</t>
  </si>
  <si>
    <t>106124</t>
  </si>
  <si>
    <t>Стенд "Наша школа" (Гранд 2006)</t>
  </si>
  <si>
    <t>938</t>
  </si>
  <si>
    <t>106141</t>
  </si>
  <si>
    <t>Стенд "Права и обязанности" (Гранд 2006)</t>
  </si>
  <si>
    <t>939</t>
  </si>
  <si>
    <t>106150</t>
  </si>
  <si>
    <t>Стенд "Приказы" (Гранд 2006)</t>
  </si>
  <si>
    <t>940</t>
  </si>
  <si>
    <t>106123</t>
  </si>
  <si>
    <t>Стенд "Родителям" (Гранд 2006)</t>
  </si>
  <si>
    <t>941</t>
  </si>
  <si>
    <t>106127</t>
  </si>
  <si>
    <t>Стенд "Русская литература" ( Гранд 2006)</t>
  </si>
  <si>
    <t>942</t>
  </si>
  <si>
    <t>106128</t>
  </si>
  <si>
    <t xml:space="preserve">Стенд "Русский язык" ( Гранд 2006) </t>
  </si>
  <si>
    <t>943</t>
  </si>
  <si>
    <t>106151</t>
  </si>
  <si>
    <t>Стенд "Твоя осанка" "Гранд 2006)</t>
  </si>
  <si>
    <t>944</t>
  </si>
  <si>
    <t>106129</t>
  </si>
  <si>
    <t>Стенд "Химия" (Гранд 2006)</t>
  </si>
  <si>
    <t>945</t>
  </si>
  <si>
    <t>106143</t>
  </si>
  <si>
    <t>Стенд "Школа хороших манер" (Гранд 2006)</t>
  </si>
  <si>
    <t>946</t>
  </si>
  <si>
    <t>002.0.0668</t>
  </si>
  <si>
    <t>Стенд ( Твое гордое имя учитель)</t>
  </si>
  <si>
    <t>947</t>
  </si>
  <si>
    <t>010.6.0583</t>
  </si>
  <si>
    <t>Стенд (2008г)</t>
  </si>
  <si>
    <t>948</t>
  </si>
  <si>
    <t>106058</t>
  </si>
  <si>
    <t>Стенд 2-х сторонний ( с подсветкой)</t>
  </si>
  <si>
    <t>949</t>
  </si>
  <si>
    <t>106212</t>
  </si>
  <si>
    <t>Стенд аудиторный переносной (Гранд 2006)</t>
  </si>
  <si>
    <t>950</t>
  </si>
  <si>
    <t>002.0.0687</t>
  </si>
  <si>
    <t>Стенд информ.(б\назв.)</t>
  </si>
  <si>
    <t>951</t>
  </si>
  <si>
    <t>002.0.0300</t>
  </si>
  <si>
    <t>стенд информац. 900х700</t>
  </si>
  <si>
    <t>952</t>
  </si>
  <si>
    <t>010.6.0632</t>
  </si>
  <si>
    <t>Стенд информационнй 1000х700(апр.2009)</t>
  </si>
  <si>
    <t>953</t>
  </si>
  <si>
    <t>063610425</t>
  </si>
  <si>
    <t>Стенд информационный  1400х1000</t>
  </si>
  <si>
    <t>954</t>
  </si>
  <si>
    <t>000.0.0034</t>
  </si>
  <si>
    <t xml:space="preserve">стенд информационный  сборный </t>
  </si>
  <si>
    <t>955</t>
  </si>
  <si>
    <t>063690353</t>
  </si>
  <si>
    <t>Стенд информационный (2008 г.)</t>
  </si>
  <si>
    <t>956</t>
  </si>
  <si>
    <t>010.6.0584</t>
  </si>
  <si>
    <t>Стенд информационный (2008г)</t>
  </si>
  <si>
    <t>957</t>
  </si>
  <si>
    <t>063690191</t>
  </si>
  <si>
    <t>Стенд информационный (2008г.)</t>
  </si>
  <si>
    <t>958</t>
  </si>
  <si>
    <t>063690192</t>
  </si>
  <si>
    <t>959</t>
  </si>
  <si>
    <t>063690193</t>
  </si>
  <si>
    <t>960</t>
  </si>
  <si>
    <t>063690194</t>
  </si>
  <si>
    <t>961</t>
  </si>
  <si>
    <t>063690195</t>
  </si>
  <si>
    <t>962</t>
  </si>
  <si>
    <t>010.6.0495</t>
  </si>
  <si>
    <t>963</t>
  </si>
  <si>
    <t>063690354</t>
  </si>
  <si>
    <t xml:space="preserve">Стенд информационный (2008г.) </t>
  </si>
  <si>
    <t>964</t>
  </si>
  <si>
    <t>010.6.0353</t>
  </si>
  <si>
    <t>Стенд информационный 1000х700 (31.08.09 г.)</t>
  </si>
  <si>
    <t>965</t>
  </si>
  <si>
    <t>010.6.0612</t>
  </si>
  <si>
    <t>Стенд информационный 1000х800</t>
  </si>
  <si>
    <t>966</t>
  </si>
  <si>
    <t>010.6.0611</t>
  </si>
  <si>
    <t>Стенд информационный 1200х200</t>
  </si>
  <si>
    <t>967</t>
  </si>
  <si>
    <t>063610424</t>
  </si>
  <si>
    <t>Стенд информационный 1250х1000</t>
  </si>
  <si>
    <t>968</t>
  </si>
  <si>
    <t>063610421</t>
  </si>
  <si>
    <t>969</t>
  </si>
  <si>
    <t>010.6.0610</t>
  </si>
  <si>
    <t>Стенд информационный 1400х500</t>
  </si>
  <si>
    <t>970</t>
  </si>
  <si>
    <t>063610426</t>
  </si>
  <si>
    <t>Стенд информационный 1400х750</t>
  </si>
  <si>
    <t>971</t>
  </si>
  <si>
    <t xml:space="preserve">стенд малый </t>
  </si>
  <si>
    <t>972</t>
  </si>
  <si>
    <t>002.0.0273</t>
  </si>
  <si>
    <t>973</t>
  </si>
  <si>
    <t>002.0.0329</t>
  </si>
  <si>
    <t>стенд Менделеева</t>
  </si>
  <si>
    <t>974</t>
  </si>
  <si>
    <t>010.6.0217</t>
  </si>
  <si>
    <t>Стенд планшетный 1000х800х16</t>
  </si>
  <si>
    <t>975</t>
  </si>
  <si>
    <t>010.6.0410</t>
  </si>
  <si>
    <t>Стенд планшетный 600х600х16</t>
  </si>
  <si>
    <t>976</t>
  </si>
  <si>
    <t>106114</t>
  </si>
  <si>
    <t>Стенд с подсветкой</t>
  </si>
  <si>
    <t>977</t>
  </si>
  <si>
    <t>106115</t>
  </si>
  <si>
    <t>978</t>
  </si>
  <si>
    <t>002.0.0180</t>
  </si>
  <si>
    <t>стенка гимнастическая ( акт рев.)</t>
  </si>
  <si>
    <t>979</t>
  </si>
  <si>
    <t>002.0.0678</t>
  </si>
  <si>
    <t>Стенка гимнаст-кая</t>
  </si>
  <si>
    <t>980</t>
  </si>
  <si>
    <t>1.013.6.0059</t>
  </si>
  <si>
    <t>Стетоскоп мед. 04-АМ602</t>
  </si>
  <si>
    <t>981</t>
  </si>
  <si>
    <t>1.013.8.0010</t>
  </si>
  <si>
    <t>Стойка микрофонная PRO AUDIO</t>
  </si>
  <si>
    <t>982</t>
  </si>
  <si>
    <t>002.0.0254</t>
  </si>
  <si>
    <t>стол  02.2005Г.</t>
  </si>
  <si>
    <t>983</t>
  </si>
  <si>
    <t>002.0.0684</t>
  </si>
  <si>
    <t>стол  1 -х тумб. (07.07г.) с финуправ</t>
  </si>
  <si>
    <t>984</t>
  </si>
  <si>
    <t>002.0.0299</t>
  </si>
  <si>
    <t>стол  2 -х тумб. (07.07) с финупр.</t>
  </si>
  <si>
    <t>985</t>
  </si>
  <si>
    <t>002.0.0220</t>
  </si>
  <si>
    <t xml:space="preserve">стол (10.2006) </t>
  </si>
  <si>
    <t>986</t>
  </si>
  <si>
    <t>002.0.0691</t>
  </si>
  <si>
    <t>Стол 2-х тумб. (стар.)</t>
  </si>
  <si>
    <t>987</t>
  </si>
  <si>
    <t>002.0.0302</t>
  </si>
  <si>
    <t>стол брифинг (08.2007г.)</t>
  </si>
  <si>
    <t>988</t>
  </si>
  <si>
    <t>106001</t>
  </si>
  <si>
    <t>Стол демонстрационный</t>
  </si>
  <si>
    <t>989</t>
  </si>
  <si>
    <t>106004</t>
  </si>
  <si>
    <t>990</t>
  </si>
  <si>
    <t>106003</t>
  </si>
  <si>
    <t>991</t>
  </si>
  <si>
    <t>063610016</t>
  </si>
  <si>
    <t xml:space="preserve">Стол для посетителей </t>
  </si>
  <si>
    <t>992</t>
  </si>
  <si>
    <t>63610001</t>
  </si>
  <si>
    <t>стол для преподавателя</t>
  </si>
  <si>
    <t>993</t>
  </si>
  <si>
    <t>63610002</t>
  </si>
  <si>
    <t>994</t>
  </si>
  <si>
    <t>63610003</t>
  </si>
  <si>
    <t>995</t>
  </si>
  <si>
    <t>63610004</t>
  </si>
  <si>
    <t>996</t>
  </si>
  <si>
    <t>063610005</t>
  </si>
  <si>
    <t>997</t>
  </si>
  <si>
    <t>063610006</t>
  </si>
  <si>
    <t>998</t>
  </si>
  <si>
    <t>063610007</t>
  </si>
  <si>
    <t>999</t>
  </si>
  <si>
    <t>063610008</t>
  </si>
  <si>
    <t>1000</t>
  </si>
  <si>
    <t>063610009</t>
  </si>
  <si>
    <t>1001</t>
  </si>
  <si>
    <t>063610010</t>
  </si>
  <si>
    <t>1002</t>
  </si>
  <si>
    <t>063610011</t>
  </si>
  <si>
    <t>1003</t>
  </si>
  <si>
    <t>063610012</t>
  </si>
  <si>
    <t>1004</t>
  </si>
  <si>
    <t>063610013</t>
  </si>
  <si>
    <t>1005</t>
  </si>
  <si>
    <t>063610014</t>
  </si>
  <si>
    <t>1006</t>
  </si>
  <si>
    <t>063610015</t>
  </si>
  <si>
    <t>1007</t>
  </si>
  <si>
    <t>002.0.0219</t>
  </si>
  <si>
    <t>стол журнальный (10.2006)</t>
  </si>
  <si>
    <t>1008</t>
  </si>
  <si>
    <t>106062</t>
  </si>
  <si>
    <t>Стол компьютерный</t>
  </si>
  <si>
    <t>1009</t>
  </si>
  <si>
    <t>106063</t>
  </si>
  <si>
    <t>1010</t>
  </si>
  <si>
    <t>106085</t>
  </si>
  <si>
    <t>Стол компьютерный  СК-704</t>
  </si>
  <si>
    <t>1011</t>
  </si>
  <si>
    <t>063610401</t>
  </si>
  <si>
    <t>Стол компьютерный ( 2008г)</t>
  </si>
  <si>
    <t>1012</t>
  </si>
  <si>
    <t>063610396</t>
  </si>
  <si>
    <t>1013</t>
  </si>
  <si>
    <t>063610397</t>
  </si>
  <si>
    <t>1014</t>
  </si>
  <si>
    <t>063610398</t>
  </si>
  <si>
    <t>1015</t>
  </si>
  <si>
    <t>063610399</t>
  </si>
  <si>
    <t>1016</t>
  </si>
  <si>
    <t>063610400</t>
  </si>
  <si>
    <t>1017</t>
  </si>
  <si>
    <t>002.0.0694</t>
  </si>
  <si>
    <t>Стол компьютерный (2006 г.)</t>
  </si>
  <si>
    <t>1018</t>
  </si>
  <si>
    <t>106029</t>
  </si>
  <si>
    <t>Стол компьютерный Гил-4</t>
  </si>
  <si>
    <t>1019</t>
  </si>
  <si>
    <t>106025</t>
  </si>
  <si>
    <t>Стол компьютерный СК-705</t>
  </si>
  <si>
    <t>1020</t>
  </si>
  <si>
    <t>106026</t>
  </si>
  <si>
    <t>1021</t>
  </si>
  <si>
    <t>106027</t>
  </si>
  <si>
    <t>1022</t>
  </si>
  <si>
    <t>106028</t>
  </si>
  <si>
    <t>1023</t>
  </si>
  <si>
    <t>106075 - 106084</t>
  </si>
  <si>
    <t>1024</t>
  </si>
  <si>
    <t>002.0.0629</t>
  </si>
  <si>
    <t>стол лабораторный</t>
  </si>
  <si>
    <t>1025</t>
  </si>
  <si>
    <t>002.0.0231</t>
  </si>
  <si>
    <t>стол медицинский</t>
  </si>
  <si>
    <t>1026</t>
  </si>
  <si>
    <t>002.0.0682</t>
  </si>
  <si>
    <t>стол однотум. б/у (04.07)</t>
  </si>
  <si>
    <t>1027</t>
  </si>
  <si>
    <t>002.0.0650</t>
  </si>
  <si>
    <t>стол однотум. б\у</t>
  </si>
  <si>
    <t>1028</t>
  </si>
  <si>
    <t>002.0.0291</t>
  </si>
  <si>
    <t xml:space="preserve">стол письм. б/у </t>
  </si>
  <si>
    <t>1029</t>
  </si>
  <si>
    <t xml:space="preserve">Стол письменный </t>
  </si>
  <si>
    <t>1030</t>
  </si>
  <si>
    <t>1.083.0.0708</t>
  </si>
  <si>
    <t>Стол письменный  (2010)</t>
  </si>
  <si>
    <t>1031</t>
  </si>
  <si>
    <t>063610386</t>
  </si>
  <si>
    <t>Стол письменный (19.11.2008г.)</t>
  </si>
  <si>
    <t>1032</t>
  </si>
  <si>
    <t>063610185</t>
  </si>
  <si>
    <t>Стол письменный (2008г)</t>
  </si>
  <si>
    <t>1033</t>
  </si>
  <si>
    <t>106113</t>
  </si>
  <si>
    <t>Стол письменный универсальный</t>
  </si>
  <si>
    <t>1034</t>
  </si>
  <si>
    <t>002.0.0685</t>
  </si>
  <si>
    <t xml:space="preserve">стол пиьсменный </t>
  </si>
  <si>
    <t>1035</t>
  </si>
  <si>
    <t>063610383</t>
  </si>
  <si>
    <t>Стол приставной (2008 г.)</t>
  </si>
  <si>
    <t>1036</t>
  </si>
  <si>
    <t>063610190</t>
  </si>
  <si>
    <t>Стол приставной (2008г)</t>
  </si>
  <si>
    <t>1037</t>
  </si>
  <si>
    <t>063610197</t>
  </si>
  <si>
    <t>Стол приставной 800х500х750</t>
  </si>
  <si>
    <t>1038</t>
  </si>
  <si>
    <t>063610198</t>
  </si>
  <si>
    <t>1039</t>
  </si>
  <si>
    <t>063610165</t>
  </si>
  <si>
    <t>Стол рабочий (компьют.)1200х600х870 (Гранд 2007 г)</t>
  </si>
  <si>
    <t>1040</t>
  </si>
  <si>
    <t>063610199</t>
  </si>
  <si>
    <t>Стол рабочий 1400х600х750</t>
  </si>
  <si>
    <t>1041</t>
  </si>
  <si>
    <t>063610200</t>
  </si>
  <si>
    <t>1042</t>
  </si>
  <si>
    <t>002.0.0204</t>
  </si>
  <si>
    <t>стол тенисный</t>
  </si>
  <si>
    <t>1043</t>
  </si>
  <si>
    <t>стол учен. гр №4  2-х местн.(12.2006)</t>
  </si>
  <si>
    <t>1044</t>
  </si>
  <si>
    <t>002.0.0258</t>
  </si>
  <si>
    <t>стол ученич. 08.2005Г.(н. сб.)</t>
  </si>
  <si>
    <t>1045</t>
  </si>
  <si>
    <t>002.0.0295</t>
  </si>
  <si>
    <t>стол ученич. 2-х мест (06.2007г.)</t>
  </si>
  <si>
    <t>1046</t>
  </si>
  <si>
    <t>002.0.0285</t>
  </si>
  <si>
    <t>стол ученич. 2х мест. (Гранд 2006Г.)</t>
  </si>
  <si>
    <t>1047</t>
  </si>
  <si>
    <t>010.6.0078</t>
  </si>
  <si>
    <t>Стол ученич. 2-х мест.нерег.мелам.(Гранд 2007)</t>
  </si>
  <si>
    <t>1048</t>
  </si>
  <si>
    <t>002.0.0298</t>
  </si>
  <si>
    <t>стол ученич. 3 гр. 2-х мест. (06.2007г.)</t>
  </si>
  <si>
    <t>1049</t>
  </si>
  <si>
    <t>002.0.0283</t>
  </si>
  <si>
    <t>стол ученич. одноместный (Гранд.2006г.)</t>
  </si>
  <si>
    <t>1050</t>
  </si>
  <si>
    <t>002.0.0297</t>
  </si>
  <si>
    <t>стол ученическ. 1-местн.  регул. со стаканч. (06.2007г.)</t>
  </si>
  <si>
    <t>1051</t>
  </si>
  <si>
    <t>010.6.0409</t>
  </si>
  <si>
    <t>Стол ученический 1-местный регул. гр.2-4 (Гранд 2007)</t>
  </si>
  <si>
    <t>1052</t>
  </si>
  <si>
    <t>010.6.0001</t>
  </si>
  <si>
    <t>Стол ученический 1-местный регул.гр.2-4 со стаканч (Гранд 2007)</t>
  </si>
  <si>
    <t>1053</t>
  </si>
  <si>
    <t>002.0.0703</t>
  </si>
  <si>
    <t>стол ученический 2-х местный</t>
  </si>
  <si>
    <t>1054</t>
  </si>
  <si>
    <t>010.6.0626</t>
  </si>
  <si>
    <t>Стол ученический двухместный (р. гр. 6) 2009 г.</t>
  </si>
  <si>
    <t>1055</t>
  </si>
  <si>
    <t>010.6.0625</t>
  </si>
  <si>
    <t>Стол ученический двухместный (р. гр.5) 2009г.</t>
  </si>
  <si>
    <t>1056</t>
  </si>
  <si>
    <t>063610269</t>
  </si>
  <si>
    <t>Стол учителя линг.каб. (1200х600х750) (М)(дарение)</t>
  </si>
  <si>
    <t>1057</t>
  </si>
  <si>
    <t>063610385</t>
  </si>
  <si>
    <t>Стол-брифинг (2008 г.)</t>
  </si>
  <si>
    <t>1058</t>
  </si>
  <si>
    <t>010.6.0417</t>
  </si>
  <si>
    <t>Стол-брифинг (2008г.)</t>
  </si>
  <si>
    <t>1059</t>
  </si>
  <si>
    <t>010.6.0356</t>
  </si>
  <si>
    <t>Столик к Iso  в комплекте подлокотник РР</t>
  </si>
  <si>
    <t>1060</t>
  </si>
  <si>
    <t>1.013.6.0053</t>
  </si>
  <si>
    <t>Столик медицинский инструментальный СМи-5</t>
  </si>
  <si>
    <t>1061</t>
  </si>
  <si>
    <t>106073</t>
  </si>
  <si>
    <t>Стол-книжка</t>
  </si>
  <si>
    <t>1062</t>
  </si>
  <si>
    <t>106072</t>
  </si>
  <si>
    <t>1063</t>
  </si>
  <si>
    <t>106071</t>
  </si>
  <si>
    <t>1064</t>
  </si>
  <si>
    <t>106074</t>
  </si>
  <si>
    <t>1065</t>
  </si>
  <si>
    <t>002.0.0698</t>
  </si>
  <si>
    <t>стол-книжка</t>
  </si>
  <si>
    <t>1066</t>
  </si>
  <si>
    <t>столы канцелярские</t>
  </si>
  <si>
    <t>1067</t>
  </si>
  <si>
    <t>002.0.0226</t>
  </si>
  <si>
    <t>столы лабораторные</t>
  </si>
  <si>
    <t>1068</t>
  </si>
  <si>
    <t>002.0.0227</t>
  </si>
  <si>
    <t>столы однотумбовые</t>
  </si>
  <si>
    <t>1069</t>
  </si>
  <si>
    <t>столы письменные ( б\у)</t>
  </si>
  <si>
    <t>1070</t>
  </si>
  <si>
    <t>002.0.0001</t>
  </si>
  <si>
    <t>столы столов.</t>
  </si>
  <si>
    <t>1071</t>
  </si>
  <si>
    <t>002.0.0004</t>
  </si>
  <si>
    <t>столы ученические 2-х мест. (письм.)</t>
  </si>
  <si>
    <t>1072</t>
  </si>
  <si>
    <t>страхов. сист. туриста</t>
  </si>
  <si>
    <t>1073</t>
  </si>
  <si>
    <t>002.0.0455</t>
  </si>
  <si>
    <t>стрелки магн. на подст (пара)</t>
  </si>
  <si>
    <t>1074</t>
  </si>
  <si>
    <t>106092</t>
  </si>
  <si>
    <t>Стремянка</t>
  </si>
  <si>
    <t>1075</t>
  </si>
  <si>
    <t>002.0.0350</t>
  </si>
  <si>
    <t>стробоскоп</t>
  </si>
  <si>
    <t>1076</t>
  </si>
  <si>
    <t>010.6.0245</t>
  </si>
  <si>
    <t>строение земной коры/полезные ископаемые</t>
  </si>
  <si>
    <t>1077</t>
  </si>
  <si>
    <t xml:space="preserve">стул  кож.зам. </t>
  </si>
  <si>
    <t>1078</t>
  </si>
  <si>
    <t>002.0.0697</t>
  </si>
  <si>
    <t>стул  учит.</t>
  </si>
  <si>
    <t>1079</t>
  </si>
  <si>
    <t>002.0.0701</t>
  </si>
  <si>
    <t>Стул " стандарт"</t>
  </si>
  <si>
    <t>1080</t>
  </si>
  <si>
    <t>002.0.0250</t>
  </si>
  <si>
    <t xml:space="preserve">стул " стандарт" </t>
  </si>
  <si>
    <t>1081</t>
  </si>
  <si>
    <t>106030</t>
  </si>
  <si>
    <t>Стул "Мартин" бардо</t>
  </si>
  <si>
    <t>1082</t>
  </si>
  <si>
    <t>010.6.0357</t>
  </si>
  <si>
    <t>Стул Iso black\V-13</t>
  </si>
  <si>
    <t>1083</t>
  </si>
  <si>
    <t>002.0.0230</t>
  </si>
  <si>
    <t>стул винтовой</t>
  </si>
  <si>
    <t>1084</t>
  </si>
  <si>
    <t>002.0.0280</t>
  </si>
  <si>
    <t>стул к конторке базарной (Гранд 2006г.)</t>
  </si>
  <si>
    <t>1085</t>
  </si>
  <si>
    <t>стул кресло (10.2006)</t>
  </si>
  <si>
    <t>1086</t>
  </si>
  <si>
    <t>010.6.0490</t>
  </si>
  <si>
    <t xml:space="preserve">Стул мягкий (Гранд 2008) </t>
  </si>
  <si>
    <t>1087</t>
  </si>
  <si>
    <t>002.0.0216</t>
  </si>
  <si>
    <t xml:space="preserve">стул полумягкий </t>
  </si>
  <si>
    <t>1088</t>
  </si>
  <si>
    <t>010.6.1010</t>
  </si>
  <si>
    <t>Стул с подьемно-поворотным механ. Loguka GTS ткань черн.</t>
  </si>
  <si>
    <t>1089</t>
  </si>
  <si>
    <t>63610270</t>
  </si>
  <si>
    <t>Стул СМ-10 (пов.  подл. ткань) (С.Л.)(дарение)</t>
  </si>
  <si>
    <t>1090</t>
  </si>
  <si>
    <t>010.4.0160</t>
  </si>
  <si>
    <t>Стул СМ-7 (ткань) (м/к) (С.Л.)(дарение)</t>
  </si>
  <si>
    <t>1091</t>
  </si>
  <si>
    <t>002.0.0284</t>
  </si>
  <si>
    <t>стул СШ-1 (Гранд 2006Г.)</t>
  </si>
  <si>
    <t>1092</t>
  </si>
  <si>
    <t>002.0.0286</t>
  </si>
  <si>
    <t>стул СШ-2 (Гранд 2006г.)</t>
  </si>
  <si>
    <t>1093</t>
  </si>
  <si>
    <t>002.0.0272</t>
  </si>
  <si>
    <t>стул ученич.  (04.06г.)</t>
  </si>
  <si>
    <t>1094</t>
  </si>
  <si>
    <t>002.0.0296</t>
  </si>
  <si>
    <t>стул ученич. (06.2007г.)</t>
  </si>
  <si>
    <t>1095</t>
  </si>
  <si>
    <t>002.0.0259</t>
  </si>
  <si>
    <t>стул ученич. 08.2005г.</t>
  </si>
  <si>
    <t>1096</t>
  </si>
  <si>
    <t>002.0.0647</t>
  </si>
  <si>
    <t>стул ученич. гр. № 4 (12.2006)</t>
  </si>
  <si>
    <t>1097</t>
  </si>
  <si>
    <t>002.0.0702</t>
  </si>
  <si>
    <t>стул ученический</t>
  </si>
  <si>
    <t>1098</t>
  </si>
  <si>
    <t>010.6.0026</t>
  </si>
  <si>
    <t>Стул ученический  регул. гр2-4 металлокаркас окраш.(Гранд 2007)</t>
  </si>
  <si>
    <t>1099</t>
  </si>
  <si>
    <t>1.013.6.0008</t>
  </si>
  <si>
    <t>Стул ученический ( апрель 2011)</t>
  </si>
  <si>
    <t>1100</t>
  </si>
  <si>
    <t>010.6.1008</t>
  </si>
  <si>
    <t>Стул ученический 5 гр. (сент.2010 г.)</t>
  </si>
  <si>
    <t>1101</t>
  </si>
  <si>
    <t>1.013.6.0075</t>
  </si>
  <si>
    <t>Стул ученический 5 гр. на прямоугольной трубе ( дек. 2011)</t>
  </si>
  <si>
    <t>1102</t>
  </si>
  <si>
    <t>010.6.1009</t>
  </si>
  <si>
    <t>Стул ученический 6 гр. (сент. 2010 г.)</t>
  </si>
  <si>
    <t>1103</t>
  </si>
  <si>
    <t>1.013.6.0076</t>
  </si>
  <si>
    <t>Стул ученический 6 гр. на прямоугольной трубе ( дек. 2011)</t>
  </si>
  <si>
    <t>1104</t>
  </si>
  <si>
    <t>010.6.0077</t>
  </si>
  <si>
    <t>Стул ученический рег.3,4 гр. (Гранд 2007)</t>
  </si>
  <si>
    <t>1105</t>
  </si>
  <si>
    <t>010.6.1055</t>
  </si>
  <si>
    <t>Стул ученическия 5 гр. ( март 2011)</t>
  </si>
  <si>
    <t>1106</t>
  </si>
  <si>
    <t>010.6.1056</t>
  </si>
  <si>
    <t>Стул ученическия 6 гр. ( март 2011)</t>
  </si>
  <si>
    <t>1107</t>
  </si>
  <si>
    <t>010.6.0354</t>
  </si>
  <si>
    <t>Стул Форма +</t>
  </si>
  <si>
    <t>1108</t>
  </si>
  <si>
    <t>106060</t>
  </si>
  <si>
    <t>Стул-кресло</t>
  </si>
  <si>
    <t>1109</t>
  </si>
  <si>
    <t>106061</t>
  </si>
  <si>
    <t>1110</t>
  </si>
  <si>
    <t>002.0.0003</t>
  </si>
  <si>
    <t>стулья взрослые</t>
  </si>
  <si>
    <t>1111</t>
  </si>
  <si>
    <t>002.0.0623</t>
  </si>
  <si>
    <t>Стулья офисные кожзам</t>
  </si>
  <si>
    <t>1112</t>
  </si>
  <si>
    <t>стулья ученические (железн.)</t>
  </si>
  <si>
    <t>1113</t>
  </si>
  <si>
    <t>063310374</t>
  </si>
  <si>
    <t>Ступенька двухступенчатая</t>
  </si>
  <si>
    <t>1114</t>
  </si>
  <si>
    <t>002.0.0439</t>
  </si>
  <si>
    <t>стусло универсальное</t>
  </si>
  <si>
    <t>1115</t>
  </si>
  <si>
    <t>002.0.0461</t>
  </si>
  <si>
    <t>Султан электрич. (Гранд 06г.)</t>
  </si>
  <si>
    <t>1116</t>
  </si>
  <si>
    <t>011.0.0023</t>
  </si>
  <si>
    <t>Сумка для ноутбука BASE XX " Supreme Gase " синий</t>
  </si>
  <si>
    <t>1117</t>
  </si>
  <si>
    <t>002.0.0247</t>
  </si>
  <si>
    <t>счетчик водяной</t>
  </si>
  <si>
    <t>1118</t>
  </si>
  <si>
    <t>002.0.0353</t>
  </si>
  <si>
    <t>счетчик ионизированных частиц</t>
  </si>
  <si>
    <t>1119</t>
  </si>
  <si>
    <t>002.0.0325</t>
  </si>
  <si>
    <t>табл. Вектора (Гранд 2006г.)</t>
  </si>
  <si>
    <t>1120</t>
  </si>
  <si>
    <t>002.0.0326</t>
  </si>
  <si>
    <t>табл. Графики функций ( Гранд 2006г.)</t>
  </si>
  <si>
    <t>1121</t>
  </si>
  <si>
    <t>002.0.0327</t>
  </si>
  <si>
    <t>табл. матем. д/ср. шк. (Гранд 2006г.)</t>
  </si>
  <si>
    <t>1122</t>
  </si>
  <si>
    <t>002.0.0328</t>
  </si>
  <si>
    <t>табл. Многогранники (Гранд 2006г.)</t>
  </si>
  <si>
    <t>1123</t>
  </si>
  <si>
    <t>таблица  "Кем быть"</t>
  </si>
  <si>
    <t>1124</t>
  </si>
  <si>
    <t>002.0.0556</t>
  </si>
  <si>
    <t>таблица конструир. одежды</t>
  </si>
  <si>
    <t>1125</t>
  </si>
  <si>
    <t>таблица разрядов</t>
  </si>
  <si>
    <t>1126</t>
  </si>
  <si>
    <t>табурет</t>
  </si>
  <si>
    <t>1127</t>
  </si>
  <si>
    <t>002.0.0245</t>
  </si>
  <si>
    <t xml:space="preserve">табурет  </t>
  </si>
  <si>
    <t>1128</t>
  </si>
  <si>
    <t>002.0.0688</t>
  </si>
  <si>
    <t>табурет 12.03 г.</t>
  </si>
  <si>
    <t>1129</t>
  </si>
  <si>
    <t>табуретка</t>
  </si>
  <si>
    <t>1130</t>
  </si>
  <si>
    <t>002.0.0673</t>
  </si>
  <si>
    <t>Таз алюм. (2009 г.)</t>
  </si>
  <si>
    <t>1131</t>
  </si>
  <si>
    <t>002.0.0557</t>
  </si>
  <si>
    <t>таз эмалированный</t>
  </si>
  <si>
    <t>1132</t>
  </si>
  <si>
    <t>002.0.0346</t>
  </si>
  <si>
    <t>тарелка вакуумная</t>
  </si>
  <si>
    <t>1133</t>
  </si>
  <si>
    <t>010.6.0273</t>
  </si>
  <si>
    <t>Тектоника и минеральные ресурсы России</t>
  </si>
  <si>
    <t>1134</t>
  </si>
  <si>
    <t>002.0.0392</t>
  </si>
  <si>
    <t>тележка легкоподвижная</t>
  </si>
  <si>
    <t>1135</t>
  </si>
  <si>
    <t>002.0.0395</t>
  </si>
  <si>
    <t>телескоп</t>
  </si>
  <si>
    <t>1136</t>
  </si>
  <si>
    <t xml:space="preserve">телефон </t>
  </si>
  <si>
    <t>1137</t>
  </si>
  <si>
    <t>002.0.0248</t>
  </si>
  <si>
    <t>телефон  Panasonik</t>
  </si>
  <si>
    <t>1138</t>
  </si>
  <si>
    <t>002.0.0634</t>
  </si>
  <si>
    <t>телефон "Спектор"</t>
  </si>
  <si>
    <t>1139</t>
  </si>
  <si>
    <t>002.0.0632</t>
  </si>
  <si>
    <t>Телефон GEO</t>
  </si>
  <si>
    <t>1140</t>
  </si>
  <si>
    <t>002.0.0246</t>
  </si>
  <si>
    <t>телефон Panasonik</t>
  </si>
  <si>
    <t>1141</t>
  </si>
  <si>
    <t>002.0.0666</t>
  </si>
  <si>
    <t>теллурий</t>
  </si>
  <si>
    <t>1142</t>
  </si>
  <si>
    <t>002.0.0469</t>
  </si>
  <si>
    <t>термом. лабор.ТЛ-2№3 (Гранд 06г.)</t>
  </si>
  <si>
    <t>1143</t>
  </si>
  <si>
    <t>050.1.0039</t>
  </si>
  <si>
    <t>Термометр</t>
  </si>
  <si>
    <t>1144</t>
  </si>
  <si>
    <t xml:space="preserve">термометр комнатн. </t>
  </si>
  <si>
    <t>1145</t>
  </si>
  <si>
    <t>002.0.0434</t>
  </si>
  <si>
    <t>термометр на термосопротивлен.</t>
  </si>
  <si>
    <t>1146</t>
  </si>
  <si>
    <t>002.0.0146</t>
  </si>
  <si>
    <t>термометр сопротевления</t>
  </si>
  <si>
    <t>1147</t>
  </si>
  <si>
    <t>002.0.0133</t>
  </si>
  <si>
    <t>термопара</t>
  </si>
  <si>
    <t>1148</t>
  </si>
  <si>
    <t>106252</t>
  </si>
  <si>
    <t xml:space="preserve">Тиски слесарные ТСС 80 (Гранд 2006) </t>
  </si>
  <si>
    <t>1149</t>
  </si>
  <si>
    <t>106253</t>
  </si>
  <si>
    <t xml:space="preserve">тиски слесарные ТСС 80 (Гранд 2006) </t>
  </si>
  <si>
    <t>1150</t>
  </si>
  <si>
    <t>106244</t>
  </si>
  <si>
    <t xml:space="preserve">Тиски слесарные ТСС 80 (Гранд 2006)  </t>
  </si>
  <si>
    <t>1151</t>
  </si>
  <si>
    <t>106245</t>
  </si>
  <si>
    <t>1152</t>
  </si>
  <si>
    <t>106246</t>
  </si>
  <si>
    <t>1153</t>
  </si>
  <si>
    <t>106247</t>
  </si>
  <si>
    <t>1154</t>
  </si>
  <si>
    <t>106248</t>
  </si>
  <si>
    <t>1155</t>
  </si>
  <si>
    <t>106249</t>
  </si>
  <si>
    <t>1156</t>
  </si>
  <si>
    <t>106250</t>
  </si>
  <si>
    <t>1157</t>
  </si>
  <si>
    <t>106251</t>
  </si>
  <si>
    <t>1158</t>
  </si>
  <si>
    <t>050.1.0046</t>
  </si>
  <si>
    <t>Тонометр</t>
  </si>
  <si>
    <t>1159</t>
  </si>
  <si>
    <t>106046</t>
  </si>
  <si>
    <t>Тонометр электронный</t>
  </si>
  <si>
    <t>1160</t>
  </si>
  <si>
    <t>010.6.0280</t>
  </si>
  <si>
    <t>Топливная промышленность России</t>
  </si>
  <si>
    <t>1161</t>
  </si>
  <si>
    <t>002.0.0267</t>
  </si>
  <si>
    <t>торцевой сегмент рад. (03.06г.)(стол)</t>
  </si>
  <si>
    <t>1162</t>
  </si>
  <si>
    <t>011.0.0024</t>
  </si>
  <si>
    <t>Точка доступа Wi-Fi D-LINK</t>
  </si>
  <si>
    <t>1163</t>
  </si>
  <si>
    <t>002.0.0322</t>
  </si>
  <si>
    <t>транспортир класс. (Гранд 2006г.)</t>
  </si>
  <si>
    <t>1164</t>
  </si>
  <si>
    <t>002.0.0343</t>
  </si>
  <si>
    <t>трансформатор разборный</t>
  </si>
  <si>
    <t>1165</t>
  </si>
  <si>
    <t>002.0.0341</t>
  </si>
  <si>
    <t>трансформатор-регулятор</t>
  </si>
  <si>
    <t>1166</t>
  </si>
  <si>
    <t>063610119</t>
  </si>
  <si>
    <t>Трибуна</t>
  </si>
  <si>
    <t>1167</t>
  </si>
  <si>
    <t>063610118</t>
  </si>
  <si>
    <t>Трибуна МОД 1650*600*1300 (Гоанд 2007)</t>
  </si>
  <si>
    <t>1168</t>
  </si>
  <si>
    <t>002.0.0576</t>
  </si>
  <si>
    <t>трос 0,12 мм</t>
  </si>
  <si>
    <t>1169</t>
  </si>
  <si>
    <t>002.0.0135</t>
  </si>
  <si>
    <t>трубка Ньютона</t>
  </si>
  <si>
    <t>1170</t>
  </si>
  <si>
    <t>002.0.0389</t>
  </si>
  <si>
    <t>1171</t>
  </si>
  <si>
    <t>002.0.0139</t>
  </si>
  <si>
    <t>трубка ренгеновская</t>
  </si>
  <si>
    <t>1172</t>
  </si>
  <si>
    <t>063610417</t>
  </si>
  <si>
    <t>Тумба</t>
  </si>
  <si>
    <t>1173</t>
  </si>
  <si>
    <t>106106</t>
  </si>
  <si>
    <t>Тумба выкатная с 3-мя ящиками</t>
  </si>
  <si>
    <t>1174</t>
  </si>
  <si>
    <t>002.0.0266</t>
  </si>
  <si>
    <t>тумба д/видео  (03.06г.)</t>
  </si>
  <si>
    <t>1175</t>
  </si>
  <si>
    <t>002.0.0294</t>
  </si>
  <si>
    <t>тумба д\в (06.2007г.)</t>
  </si>
  <si>
    <t>1176</t>
  </si>
  <si>
    <t>002.0.0696</t>
  </si>
  <si>
    <t>тумба для д\видео</t>
  </si>
  <si>
    <t>1177</t>
  </si>
  <si>
    <t>1.013.6.0083</t>
  </si>
  <si>
    <t>Тумба для микроскопа учителя 750х600х500 (дек.20110</t>
  </si>
  <si>
    <t>1178</t>
  </si>
  <si>
    <t>010.6.0364</t>
  </si>
  <si>
    <t>Тумба для плакатов</t>
  </si>
  <si>
    <t>1179</t>
  </si>
  <si>
    <t>106093</t>
  </si>
  <si>
    <t>Тумба для телевидео</t>
  </si>
  <si>
    <t>1180</t>
  </si>
  <si>
    <t>063610188</t>
  </si>
  <si>
    <t>Тумба для цветов большая</t>
  </si>
  <si>
    <t>1181</t>
  </si>
  <si>
    <t>063610210</t>
  </si>
  <si>
    <t>Тумба для цветов малая</t>
  </si>
  <si>
    <t>1182</t>
  </si>
  <si>
    <t>063610211</t>
  </si>
  <si>
    <t>1183</t>
  </si>
  <si>
    <t>063610392</t>
  </si>
  <si>
    <t>Тумба подкатная ( 2008 г.)</t>
  </si>
  <si>
    <t>1184</t>
  </si>
  <si>
    <t>063610384</t>
  </si>
  <si>
    <t>Тумба подкатная (19.11.2008г.)</t>
  </si>
  <si>
    <t>1185</t>
  </si>
  <si>
    <t>063610186</t>
  </si>
  <si>
    <t>Тумба подкатная (2008г)</t>
  </si>
  <si>
    <t>1186</t>
  </si>
  <si>
    <t>106203</t>
  </si>
  <si>
    <t>Тумба приставная д/клас. комн. (Гранд 2006)</t>
  </si>
  <si>
    <t>1187</t>
  </si>
  <si>
    <t>106204</t>
  </si>
  <si>
    <t>1188</t>
  </si>
  <si>
    <t>002.0.0132</t>
  </si>
  <si>
    <t>турбина водяная</t>
  </si>
  <si>
    <t>1189</t>
  </si>
  <si>
    <t>туристические трапики</t>
  </si>
  <si>
    <t>1190</t>
  </si>
  <si>
    <t>002.0.0209</t>
  </si>
  <si>
    <t>туфли легкоатлетические</t>
  </si>
  <si>
    <t>1191</t>
  </si>
  <si>
    <t>061720427</t>
  </si>
  <si>
    <t>Тюль радуга высота 280 м (2008) (спорт зал)</t>
  </si>
  <si>
    <t>1192</t>
  </si>
  <si>
    <t>010.8.0010</t>
  </si>
  <si>
    <t>Тюль-штора ш 228 (2008г.)</t>
  </si>
  <si>
    <t>1193</t>
  </si>
  <si>
    <t>061720407</t>
  </si>
  <si>
    <t>Тюль-штора ш 248 (2008г.)</t>
  </si>
  <si>
    <t>1194</t>
  </si>
  <si>
    <t>062930409</t>
  </si>
  <si>
    <t>Увлажнитель Bimatek M -1030 EUN (2008 г.)</t>
  </si>
  <si>
    <t>1195</t>
  </si>
  <si>
    <t>062930410</t>
  </si>
  <si>
    <t>1196</t>
  </si>
  <si>
    <t>062930408</t>
  </si>
  <si>
    <t>1197</t>
  </si>
  <si>
    <t>062930411</t>
  </si>
  <si>
    <t>1198</t>
  </si>
  <si>
    <t>002.0.0476</t>
  </si>
  <si>
    <t>угломер школьный</t>
  </si>
  <si>
    <t>1199</t>
  </si>
  <si>
    <t>уголок школьника (10.2006)</t>
  </si>
  <si>
    <t>1200</t>
  </si>
  <si>
    <t>106112</t>
  </si>
  <si>
    <t>Уголок школьника (орех)</t>
  </si>
  <si>
    <t>1201</t>
  </si>
  <si>
    <t>010.6.0288</t>
  </si>
  <si>
    <t>Урал.Социально-экономическая карта</t>
  </si>
  <si>
    <t>1202</t>
  </si>
  <si>
    <t>010.6.0287</t>
  </si>
  <si>
    <t>Урал.Физическая карта</t>
  </si>
  <si>
    <t>1203</t>
  </si>
  <si>
    <t>010.6.0242</t>
  </si>
  <si>
    <t>урбанизация и плотность населения мира</t>
  </si>
  <si>
    <t>1204</t>
  </si>
  <si>
    <t>010.6.0526</t>
  </si>
  <si>
    <t>Уровни организ.живого (Ш) табл.(Гранд 2008)</t>
  </si>
  <si>
    <t>1205</t>
  </si>
  <si>
    <t>002.0.0441</t>
  </si>
  <si>
    <t>усилитель низких частот</t>
  </si>
  <si>
    <t>1206</t>
  </si>
  <si>
    <t>1.013.4.0025</t>
  </si>
  <si>
    <t>Устройство для чтения эл. книг Expaу</t>
  </si>
  <si>
    <t>1207</t>
  </si>
  <si>
    <t>утюг Скарлет</t>
  </si>
  <si>
    <t>1208</t>
  </si>
  <si>
    <t>1.013.6.0010</t>
  </si>
  <si>
    <t>Учебная карта " Борьба народов против иноземныхзахватчиков" (матовое, 2-х стороннее лам.)</t>
  </si>
  <si>
    <t>1209</t>
  </si>
  <si>
    <t>1.013.6.0021</t>
  </si>
  <si>
    <t>Учебная карта "Австралия и Новая Зеландия "  (матовое, 2-х стороннее лам)</t>
  </si>
  <si>
    <t>1210</t>
  </si>
  <si>
    <t>1.013.6.0011</t>
  </si>
  <si>
    <t>Учебная карта "Великая Отечественная война 1941-1945 г.г." (матовое, 2-х стороннее лам)</t>
  </si>
  <si>
    <t>1211</t>
  </si>
  <si>
    <t>1.013.6.0013</t>
  </si>
  <si>
    <t>Учебная карта "Древняя Греция "  (матовое, 2-х стороннее лам)</t>
  </si>
  <si>
    <t>1212</t>
  </si>
  <si>
    <t>1.013.6.0012</t>
  </si>
  <si>
    <t>Учебная карта "Киевская Русь в IX- нач.XIIв.в. "  (матовое, 2-х стороннее лам)</t>
  </si>
  <si>
    <t>1213</t>
  </si>
  <si>
    <t>1.013.6.0014</t>
  </si>
  <si>
    <t>Учебная карта "Отечественная Война 1812 "  (матовое, 2-х стороннее лам)</t>
  </si>
  <si>
    <t>1214</t>
  </si>
  <si>
    <t>1.013.6.0015</t>
  </si>
  <si>
    <t>Учебная карта "Первая мировая война 1914-1918 г.г. "  (матовое, 2-х стороннее лам)</t>
  </si>
  <si>
    <t>1215</t>
  </si>
  <si>
    <t>1.013.6.0016</t>
  </si>
  <si>
    <t>Учебная карта "Раздробленность Русси в XII-первой четверти XIIв.в.  "  (матовое, 2-х стороннее лам)</t>
  </si>
  <si>
    <t>1216</t>
  </si>
  <si>
    <t>1.013.6.0017</t>
  </si>
  <si>
    <t>Учебная карта "Революция 1905-1907 г.г. в России "  (матовое, 2-х стороннее лам)</t>
  </si>
  <si>
    <t>1217</t>
  </si>
  <si>
    <t>1.013.6.0018</t>
  </si>
  <si>
    <t>Учебная карта "Российская империя 19в.-1861г. "  (матовое, 2-х стороннее лам)</t>
  </si>
  <si>
    <t>1218</t>
  </si>
  <si>
    <t>1.013.6.0019</t>
  </si>
  <si>
    <t>Учебная карта "Российская империя в 18 в. "  (матовое, 2-х стороннее лам)</t>
  </si>
  <si>
    <t>1219</t>
  </si>
  <si>
    <t>1.013.6.0020</t>
  </si>
  <si>
    <t>Учебная карта "Российское государство в 16 веке "  (матовое, 2-х стороннее лам)</t>
  </si>
  <si>
    <t>1220</t>
  </si>
  <si>
    <t>1.013.6.0023</t>
  </si>
  <si>
    <t>Учебно-наглядное пособие  "Правильное питание " 70х100 пластик</t>
  </si>
  <si>
    <t>1221</t>
  </si>
  <si>
    <t>002.0.0164</t>
  </si>
  <si>
    <t>фартуки д\труда</t>
  </si>
  <si>
    <t>1222</t>
  </si>
  <si>
    <t>010.6.0248</t>
  </si>
  <si>
    <t>физическая карта мира/ физическая карта мира,контурная</t>
  </si>
  <si>
    <t>1223</t>
  </si>
  <si>
    <t>010.6.0232</t>
  </si>
  <si>
    <t>физическая карта полушарий / физическая карта полушарий, контурная</t>
  </si>
  <si>
    <t>1224</t>
  </si>
  <si>
    <t>010.6.0301</t>
  </si>
  <si>
    <t>Физическая карта Росси/Физическая карта России, контурная</t>
  </si>
  <si>
    <t>1225</t>
  </si>
  <si>
    <t xml:space="preserve">063690457-063690459 </t>
  </si>
  <si>
    <t>Флаги (комплект) (декабрь 2009 г.)</t>
  </si>
  <si>
    <t>1226</t>
  </si>
  <si>
    <t>010.4.0186</t>
  </si>
  <si>
    <t xml:space="preserve">флешка 2Gb USB2.0 Flash Drive Transcend V20 </t>
  </si>
  <si>
    <t>1227</t>
  </si>
  <si>
    <t>1.083.0.0711</t>
  </si>
  <si>
    <t>флешка 8Gb USB Flash Drive Apacer AH110 (USB2)</t>
  </si>
  <si>
    <t>1228</t>
  </si>
  <si>
    <t>010.4.0093</t>
  </si>
  <si>
    <t xml:space="preserve">флешка накопитель USB-flash 4 ГБ </t>
  </si>
  <si>
    <t>1229</t>
  </si>
  <si>
    <t>флешка-память  32Gb USB2.0 Flash (февраль 2012)</t>
  </si>
  <si>
    <t>1230</t>
  </si>
  <si>
    <t>фонарь (03.06)</t>
  </si>
  <si>
    <t>1231</t>
  </si>
  <si>
    <t>002.0.0317</t>
  </si>
  <si>
    <t>фонохрестоматия 8кл.</t>
  </si>
  <si>
    <t>1232</t>
  </si>
  <si>
    <t>002.0.0316</t>
  </si>
  <si>
    <t>фонохрестоматия 9кл.</t>
  </si>
  <si>
    <t>1233</t>
  </si>
  <si>
    <t>форма (12.06г.)</t>
  </si>
  <si>
    <t>1234</t>
  </si>
  <si>
    <t>002.0.0162</t>
  </si>
  <si>
    <t>форма для печения</t>
  </si>
  <si>
    <t>1235</t>
  </si>
  <si>
    <t>002.0.0651</t>
  </si>
  <si>
    <t>фотоаппарат</t>
  </si>
  <si>
    <t>1236</t>
  </si>
  <si>
    <t>Фотоаппарт "Премьер"</t>
  </si>
  <si>
    <t>1237</t>
  </si>
  <si>
    <t>002.0.0398</t>
  </si>
  <si>
    <t>фотометр</t>
  </si>
  <si>
    <t>1238</t>
  </si>
  <si>
    <t>010.6.0281</t>
  </si>
  <si>
    <t>Химическая и нефтехимическая  промышденность России</t>
  </si>
  <si>
    <t>1239</t>
  </si>
  <si>
    <t>01380001</t>
  </si>
  <si>
    <t>Холодильник "Смоленск"</t>
  </si>
  <si>
    <t>1240</t>
  </si>
  <si>
    <t>002.0.0222</t>
  </si>
  <si>
    <t>холодильник б/у (10.2006)</t>
  </si>
  <si>
    <t>1241</t>
  </si>
  <si>
    <t>002.0.0483</t>
  </si>
  <si>
    <t>Центр. и Восточ. Азия (Гранд 06г.)</t>
  </si>
  <si>
    <t>1242</t>
  </si>
  <si>
    <t>010.6.0285</t>
  </si>
  <si>
    <t>Центральная Россия. Физическая карта</t>
  </si>
  <si>
    <t>1243</t>
  </si>
  <si>
    <t>010.6.0286</t>
  </si>
  <si>
    <t>Центральная Россия.Социально-экономическая карта</t>
  </si>
  <si>
    <t>1244</t>
  </si>
  <si>
    <t>010.6.0347</t>
  </si>
  <si>
    <t>цимбала</t>
  </si>
  <si>
    <t>1245</t>
  </si>
  <si>
    <t>062930427</t>
  </si>
  <si>
    <t>Чайник SCARLET SC 1023</t>
  </si>
  <si>
    <t>1246</t>
  </si>
  <si>
    <t>часы</t>
  </si>
  <si>
    <t>1247</t>
  </si>
  <si>
    <t>часы настенные</t>
  </si>
  <si>
    <t>1248</t>
  </si>
  <si>
    <t>010.6.0282</t>
  </si>
  <si>
    <t>Черная и цветная металлургия России</t>
  </si>
  <si>
    <t>1249</t>
  </si>
  <si>
    <t>002.0.0400</t>
  </si>
  <si>
    <t>шар Паскаля</t>
  </si>
  <si>
    <t>1250</t>
  </si>
  <si>
    <t>002.0.0199</t>
  </si>
  <si>
    <t>шахматы</t>
  </si>
  <si>
    <t>1251</t>
  </si>
  <si>
    <t>002.0.0639</t>
  </si>
  <si>
    <t>шахматы (акт рев.)</t>
  </si>
  <si>
    <t>1252</t>
  </si>
  <si>
    <t>002.0.0635</t>
  </si>
  <si>
    <t>шашки (акт рев.)</t>
  </si>
  <si>
    <t>1253</t>
  </si>
  <si>
    <t>010.6.0014</t>
  </si>
  <si>
    <t>Швейная машинка электр</t>
  </si>
  <si>
    <t>1254</t>
  </si>
  <si>
    <t>002.0.0564</t>
  </si>
  <si>
    <t>шерхебель</t>
  </si>
  <si>
    <t>1255</t>
  </si>
  <si>
    <t>011.0.0027</t>
  </si>
  <si>
    <t>Шина проволочная для ног</t>
  </si>
  <si>
    <t>1256</t>
  </si>
  <si>
    <t>011.0.0026</t>
  </si>
  <si>
    <t>Шина проволочная для рук</t>
  </si>
  <si>
    <t>1257</t>
  </si>
  <si>
    <t>002.0.0024</t>
  </si>
  <si>
    <t>шиповки  (10.2006)</t>
  </si>
  <si>
    <t>1258</t>
  </si>
  <si>
    <t>063310375</t>
  </si>
  <si>
    <t>Ширма 2-х секционная ШМ-МСК (без колес)</t>
  </si>
  <si>
    <t>1259</t>
  </si>
  <si>
    <t>010.6.0361</t>
  </si>
  <si>
    <t>Ширма медицинская на колесах 1 секция</t>
  </si>
  <si>
    <t>1260</t>
  </si>
  <si>
    <t>ОБОРОТНО-САЛЬДОВАЯ  ВЕДОМОСТЬ</t>
  </si>
  <si>
    <t>по счету Зб 210</t>
  </si>
  <si>
    <t>Основные средства стоимостью до 3000 рублей включительно в эксплуатации</t>
  </si>
  <si>
    <t>за период с 01.01.2013 по 31.12.2013</t>
  </si>
  <si>
    <t>01.01.2014</t>
  </si>
  <si>
    <t/>
  </si>
  <si>
    <t>КОДЫ</t>
  </si>
  <si>
    <t>по ОКУД</t>
  </si>
  <si>
    <t>Учреждение (централизованная бухгалтерия)</t>
  </si>
  <si>
    <t>по ОКПО</t>
  </si>
  <si>
    <t>Структурное подразделение</t>
  </si>
  <si>
    <t>(по всем структурным подразделениям)</t>
  </si>
  <si>
    <t xml:space="preserve">по КСП </t>
  </si>
  <si>
    <t>000000000</t>
  </si>
  <si>
    <t>Единица измерения: руб.</t>
  </si>
  <si>
    <t>по ОКЕИ</t>
  </si>
  <si>
    <t>383</t>
  </si>
  <si>
    <t>Мат. отв. лицо</t>
  </si>
  <si>
    <t>№ п/п</t>
  </si>
  <si>
    <t>Расшифровка</t>
  </si>
  <si>
    <t>Код</t>
  </si>
  <si>
    <t>Наименование</t>
  </si>
  <si>
    <t>На 01.01.2013</t>
  </si>
  <si>
    <t>Кол-во</t>
  </si>
  <si>
    <t>Сумма</t>
  </si>
  <si>
    <t>Обороты за период</t>
  </si>
  <si>
    <t>Дебет</t>
  </si>
  <si>
    <t>Кредит</t>
  </si>
  <si>
    <t>На 31.12.2013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</si>
  <si>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</si>
  <si>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</si>
  <si>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</si>
  <si>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</si>
  <si>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</si>
  <si>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</si>
  <si>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</si>
  <si>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</si>
  <si>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</si>
  <si>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</si>
  <si>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</si>
  <si>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010.6.0517</t>
  </si>
  <si>
    <t xml:space="preserve"> Бактерии\Разнообр. эукариотич.клеток (Ш) табл.(Гранд 2008)</t>
  </si>
  <si>
    <t>063690367</t>
  </si>
  <si>
    <t xml:space="preserve"> Биология 6 кл. - растения, грибы, лишайн. (А.С.) табл.(Гранд 2008)</t>
  </si>
  <si>
    <t>063690368</t>
  </si>
  <si>
    <t xml:space="preserve"> Биология 7 кл. - животные ( А.С.) табл.(Гранд 2008)</t>
  </si>
  <si>
    <t>010.6.0542</t>
  </si>
  <si>
    <t xml:space="preserve"> Вирусы\Метаболизм (Ш) табл.(Гранд 2008)</t>
  </si>
  <si>
    <t>106195</t>
  </si>
  <si>
    <t xml:space="preserve"> Витрина для наглядных пособий 1100х550х300 (Гранд 2006)</t>
  </si>
  <si>
    <t>106196</t>
  </si>
  <si>
    <t xml:space="preserve"> Витрина для наглядных пособий 1100х550х300 (Грант 2006)</t>
  </si>
  <si>
    <t>106198</t>
  </si>
  <si>
    <t>106199</t>
  </si>
  <si>
    <t>106200</t>
  </si>
  <si>
    <t>106201</t>
  </si>
  <si>
    <t>106209</t>
  </si>
  <si>
    <t xml:space="preserve"> Витрина на металлокаркасе (Гранд 2006)</t>
  </si>
  <si>
    <t>12</t>
  </si>
  <si>
    <t>106210</t>
  </si>
  <si>
    <t>13</t>
  </si>
  <si>
    <t>010.6.0550</t>
  </si>
  <si>
    <t xml:space="preserve"> ВИЧ знать, чтобы жить (DVD) (К)(Гранд 2008)</t>
  </si>
  <si>
    <t>14</t>
  </si>
  <si>
    <t>010.6.0536</t>
  </si>
  <si>
    <t xml:space="preserve"> Выделительная система (Ш) табл.(Гранд 2008)</t>
  </si>
  <si>
    <t>15</t>
  </si>
  <si>
    <t>063690358</t>
  </si>
  <si>
    <t xml:space="preserve"> гербарий по морфологии растений 15 видов (П.Ш.)(Гранд 2008)</t>
  </si>
  <si>
    <t>16</t>
  </si>
  <si>
    <t>010.6.0551</t>
  </si>
  <si>
    <t xml:space="preserve"> Горючее сухое (С)(Гранд 2008)</t>
  </si>
  <si>
    <t>17</t>
  </si>
  <si>
    <t>010.6.0521</t>
  </si>
  <si>
    <t xml:space="preserve"> Деление клетки (Ш) табл.(Гранд 2008)</t>
  </si>
  <si>
    <t>18</t>
  </si>
  <si>
    <t>010.6.0535</t>
  </si>
  <si>
    <t xml:space="preserve"> Дыхательн. система (Ш) табл.(Гранд 2008)</t>
  </si>
  <si>
    <t>19</t>
  </si>
  <si>
    <t>010.6.0537</t>
  </si>
  <si>
    <t xml:space="preserve"> Железы внутрен. секреции (Ш) (Гранд 2008)</t>
  </si>
  <si>
    <t>20</t>
  </si>
  <si>
    <t>010.6.0529</t>
  </si>
  <si>
    <t xml:space="preserve"> Зрительный анализ (Ш) табл.(Гранд 2008)</t>
  </si>
  <si>
    <t>21</t>
  </si>
  <si>
    <t>010.6.0442</t>
  </si>
  <si>
    <t xml:space="preserve"> Ил. нап "ПБ" (6 пл) №2 (Гранд 2008 г.)</t>
  </si>
  <si>
    <t>22</t>
  </si>
  <si>
    <t>010.6.0447</t>
  </si>
  <si>
    <t xml:space="preserve"> Ил. нап "ПДД" (6 пл) (Гранд 2008 г.) </t>
  </si>
  <si>
    <t>23</t>
  </si>
  <si>
    <t>010.6.0453</t>
  </si>
  <si>
    <t xml:space="preserve"> Ил. нап "Терроризм" (5пл)(Гранд 2008 г.)</t>
  </si>
  <si>
    <t>24</t>
  </si>
  <si>
    <t>010.6.0449</t>
  </si>
  <si>
    <t xml:space="preserve"> Ил. нап "Уголок гражданской защиты2 (18пл.)(Гранд 2008 г.)</t>
  </si>
  <si>
    <t>25</t>
  </si>
  <si>
    <t>010.6.0451</t>
  </si>
  <si>
    <t xml:space="preserve"> Ил. нап"ОБЖ" (12пл)(Гранд 2008 г.)</t>
  </si>
  <si>
    <t>26</t>
  </si>
  <si>
    <t>010.6.0457</t>
  </si>
  <si>
    <t xml:space="preserve"> Ип. нап "Мозаика"(Гранд 2008 г.)</t>
  </si>
  <si>
    <t>27</t>
  </si>
  <si>
    <t>010.4.0143</t>
  </si>
  <si>
    <t xml:space="preserve"> Клавиатура+мышь А4Тech RK(S)-670D (Гранд 2008)</t>
  </si>
  <si>
    <t>28</t>
  </si>
  <si>
    <t>010.6.0538</t>
  </si>
  <si>
    <t xml:space="preserve"> Кожа (Ш)(Гранд 2008)</t>
  </si>
  <si>
    <t>29</t>
  </si>
  <si>
    <t>010.6.0497</t>
  </si>
  <si>
    <t xml:space="preserve"> коллекция - раковины моллюсков (С)(Гранд 2008)</t>
  </si>
  <si>
    <t>30</t>
  </si>
  <si>
    <t>063690357</t>
  </si>
  <si>
    <t xml:space="preserve"> коллекция -представитель отрядов насек. (П.Ш.)(Гранд 2008)</t>
  </si>
  <si>
    <t>31</t>
  </si>
  <si>
    <t>010.6.0534</t>
  </si>
  <si>
    <t xml:space="preserve"> Кровеносная сист. (Ш) табл.(Гранд 2008)</t>
  </si>
  <si>
    <t>32</t>
  </si>
  <si>
    <t>010.6.0543</t>
  </si>
  <si>
    <t xml:space="preserve"> Круговорот азота\ жизненные формы животн. (Ш) табл.(Гранд 2008)</t>
  </si>
  <si>
    <t>33</t>
  </si>
  <si>
    <t>010.6.0522</t>
  </si>
  <si>
    <t xml:space="preserve"> Круговорот углерода\Экологич. пирамида (Ш) табл.(Гранд 2008)</t>
  </si>
  <si>
    <t>34</t>
  </si>
  <si>
    <t>010.6.0513</t>
  </si>
  <si>
    <t xml:space="preserve"> Лупа ручная (С)(Гранд 2008)</t>
  </si>
  <si>
    <t>35</t>
  </si>
  <si>
    <t>010.6.0523</t>
  </si>
  <si>
    <t xml:space="preserve"> Метод. пос. по использ. таб. по общ.биологии (Ш) табл.(Гранд 2008)</t>
  </si>
  <si>
    <t>36</t>
  </si>
  <si>
    <t>010.6.0524</t>
  </si>
  <si>
    <t xml:space="preserve"> Многообразие живых организ. (Ш) табл.(Гранд 2008)</t>
  </si>
  <si>
    <t>37</t>
  </si>
  <si>
    <t>063690365</t>
  </si>
  <si>
    <t xml:space="preserve"> Модель аппл. Биосинтеза белка (С)(Гранд 2008)</t>
  </si>
  <si>
    <t>38</t>
  </si>
  <si>
    <t>063690364</t>
  </si>
  <si>
    <t xml:space="preserve"> Модель глаза (С)(Гранд 2008)</t>
  </si>
  <si>
    <t>39</t>
  </si>
  <si>
    <t>063690361</t>
  </si>
  <si>
    <t xml:space="preserve"> Модель мозга в разрезе (С)(Гранд 2008)</t>
  </si>
  <si>
    <t>40</t>
  </si>
  <si>
    <t>063690366</t>
  </si>
  <si>
    <t xml:space="preserve"> Модель цветка капусты (С)(Гранд 2008)</t>
  </si>
  <si>
    <t>41</t>
  </si>
  <si>
    <t>063690363</t>
  </si>
  <si>
    <t xml:space="preserve"> Модель части позвоночника человека (С)(Гранд 2008)</t>
  </si>
  <si>
    <t>42</t>
  </si>
  <si>
    <t>010.6.0528</t>
  </si>
  <si>
    <t xml:space="preserve"> Мускулатура человека (Ш) табл.(Гранд 2008)</t>
  </si>
  <si>
    <t>43</t>
  </si>
  <si>
    <t>010.6.0512</t>
  </si>
  <si>
    <t xml:space="preserve"> Набор инструм.препар. (С)(Гранд 2008)</t>
  </si>
  <si>
    <t>44</t>
  </si>
  <si>
    <t>010.6.0504</t>
  </si>
  <si>
    <t xml:space="preserve"> набор муляжей грибов съедобных и ядовит. (П.Ш.)(Гранд 2008)</t>
  </si>
  <si>
    <t>45</t>
  </si>
  <si>
    <t>010.6.0502</t>
  </si>
  <si>
    <t xml:space="preserve"> набор муляжей овощ.(бол) (П.Ш.)(Гранд 2008)</t>
  </si>
  <si>
    <t>46</t>
  </si>
  <si>
    <t>010.6.0503</t>
  </si>
  <si>
    <t xml:space="preserve"> набор муляжей фруктов (бол) (П.Ш.)(Гранд 2008)</t>
  </si>
  <si>
    <t>47</t>
  </si>
  <si>
    <t>010.6.0531</t>
  </si>
  <si>
    <t xml:space="preserve"> Нервная сиситема (Ш) табл.(Гранд 2008)</t>
  </si>
  <si>
    <t>48</t>
  </si>
  <si>
    <t>010.6.0546</t>
  </si>
  <si>
    <t xml:space="preserve"> Питание и пищеварен\скелет опора орган. (Ш) табл.(Гранд 2008)</t>
  </si>
  <si>
    <t>49</t>
  </si>
  <si>
    <t>010.6.0533</t>
  </si>
  <si>
    <t xml:space="preserve"> Пищеварительная система (Ш) табл.(Гранд 2008)</t>
  </si>
  <si>
    <t>50</t>
  </si>
  <si>
    <t>106202</t>
  </si>
  <si>
    <t xml:space="preserve"> Подиум аудиторный (Гранд 2006)</t>
  </si>
  <si>
    <t>51</t>
  </si>
  <si>
    <t>010.6.0539</t>
  </si>
  <si>
    <t xml:space="preserve"> Половая система (Ш) табл.(Гранд 2008)</t>
  </si>
  <si>
    <t>52</t>
  </si>
  <si>
    <t>010.6.0549</t>
  </si>
  <si>
    <t xml:space="preserve"> Право на жизнь ( проф. нарком.) (DVD) (К)(Гранд 2008)</t>
  </si>
  <si>
    <t>53</t>
  </si>
  <si>
    <t>1.013.8.0008</t>
  </si>
  <si>
    <t xml:space="preserve"> Светильник ЛВО 13 4Х18 дрос. встраиваемый ( сент. 2011)</t>
  </si>
  <si>
    <t>54</t>
  </si>
  <si>
    <t>063690369</t>
  </si>
  <si>
    <t xml:space="preserve"> Скелет голубя (С)(Гранд 2008)</t>
  </si>
  <si>
    <t>55</t>
  </si>
  <si>
    <t>010.6.0530</t>
  </si>
  <si>
    <t xml:space="preserve"> Слуховой анализ (Ш) табл.(Гранд 2008)</t>
  </si>
  <si>
    <t>56</t>
  </si>
  <si>
    <t>010.6.0515</t>
  </si>
  <si>
    <t xml:space="preserve"> Стекло покровн. 24х24 мм (н-р 100 шт) (П.Ш)(Гранд 2008)</t>
  </si>
  <si>
    <t>57</t>
  </si>
  <si>
    <t>010.6.0514</t>
  </si>
  <si>
    <t xml:space="preserve"> Стекло предмт. (н-р 100 шт) (П.Ш.)(Гранд 2008)</t>
  </si>
  <si>
    <t>58</t>
  </si>
  <si>
    <t>106216</t>
  </si>
  <si>
    <t xml:space="preserve"> Стелаж со стеклянными малыми дверями (Гранд 2006)</t>
  </si>
  <si>
    <t>59</t>
  </si>
  <si>
    <t>106217</t>
  </si>
  <si>
    <t>60</t>
  </si>
  <si>
    <t>106218</t>
  </si>
  <si>
    <t>61</t>
  </si>
  <si>
    <t>106219</t>
  </si>
  <si>
    <t>62</t>
  </si>
  <si>
    <t>106220</t>
  </si>
  <si>
    <t>63</t>
  </si>
  <si>
    <t>106221</t>
  </si>
  <si>
    <t>64</t>
  </si>
  <si>
    <t>106222</t>
  </si>
  <si>
    <t>65</t>
  </si>
  <si>
    <t>106223</t>
  </si>
  <si>
    <t>66</t>
  </si>
  <si>
    <t>106224</t>
  </si>
  <si>
    <t>67</t>
  </si>
  <si>
    <t>106225</t>
  </si>
  <si>
    <t>68</t>
  </si>
  <si>
    <t>063690229</t>
  </si>
  <si>
    <t xml:space="preserve"> Стенд " Алфавит" (Гранд 2008)</t>
  </si>
  <si>
    <t>69</t>
  </si>
  <si>
    <t>063690233</t>
  </si>
  <si>
    <t>70</t>
  </si>
  <si>
    <t>063690234</t>
  </si>
  <si>
    <t>71</t>
  </si>
  <si>
    <t>063690235</t>
  </si>
  <si>
    <t>72</t>
  </si>
  <si>
    <t>063690237</t>
  </si>
  <si>
    <t>73</t>
  </si>
  <si>
    <t>063690238</t>
  </si>
  <si>
    <t>74</t>
  </si>
  <si>
    <t>063690239</t>
  </si>
  <si>
    <t>75</t>
  </si>
  <si>
    <t>063690241</t>
  </si>
  <si>
    <t>76</t>
  </si>
  <si>
    <t>063690230</t>
  </si>
  <si>
    <t xml:space="preserve"> Стенд " Алфавит"(Гранд 2008)</t>
  </si>
  <si>
    <t>77</t>
  </si>
  <si>
    <t>063690231</t>
  </si>
  <si>
    <t>78</t>
  </si>
  <si>
    <t>063690232</t>
  </si>
  <si>
    <t>79</t>
  </si>
  <si>
    <t>063690236</t>
  </si>
  <si>
    <t>80</t>
  </si>
  <si>
    <t>063690242</t>
  </si>
  <si>
    <t>81</t>
  </si>
  <si>
    <t>063690213</t>
  </si>
  <si>
    <t xml:space="preserve"> Стенд " Теремок 01"(Гранд 2008 г.)</t>
  </si>
  <si>
    <t>82</t>
  </si>
  <si>
    <t>063690248</t>
  </si>
  <si>
    <t xml:space="preserve"> Стенд "Будь здоров"(Гранд 2008 г.)</t>
  </si>
  <si>
    <t>83</t>
  </si>
  <si>
    <t>063690216</t>
  </si>
  <si>
    <t xml:space="preserve"> Стенд "Визитка школы"(Гранд 2008 г)</t>
  </si>
  <si>
    <t>84</t>
  </si>
  <si>
    <t>063690245</t>
  </si>
  <si>
    <t xml:space="preserve"> Стенд "ГО и ЧС" (Гранд 2008 г)</t>
  </si>
  <si>
    <t>85</t>
  </si>
  <si>
    <t>063690227</t>
  </si>
  <si>
    <t xml:space="preserve"> Стенд "Дельфин" (Гранд 2008)</t>
  </si>
  <si>
    <t>86</t>
  </si>
  <si>
    <t>063690226</t>
  </si>
  <si>
    <t xml:space="preserve"> Стенд "Дельфин"(Гранд 2008)</t>
  </si>
  <si>
    <t>87</t>
  </si>
  <si>
    <t>063690250</t>
  </si>
  <si>
    <t xml:space="preserve"> Стенд "Здоровье и спорт"(Гранд 2008г)</t>
  </si>
  <si>
    <t>88</t>
  </si>
  <si>
    <t>063690222</t>
  </si>
  <si>
    <t xml:space="preserve"> Стенд "Колокольчик" (Гранд 2008)</t>
  </si>
  <si>
    <t>89</t>
  </si>
  <si>
    <t>063690223</t>
  </si>
  <si>
    <t>90</t>
  </si>
  <si>
    <t>063690246</t>
  </si>
  <si>
    <t xml:space="preserve"> Стенд "КорабликОБЖ"(Гранд 2008 г.)</t>
  </si>
  <si>
    <t>91</t>
  </si>
  <si>
    <t>063690224</t>
  </si>
  <si>
    <t xml:space="preserve"> Стенд "Малинка" (Гранд 2008)</t>
  </si>
  <si>
    <t>92</t>
  </si>
  <si>
    <t>063690225</t>
  </si>
  <si>
    <t xml:space="preserve"> Стенд "Малинка"(Гранд 2008)</t>
  </si>
  <si>
    <t>93</t>
  </si>
  <si>
    <t>063690244</t>
  </si>
  <si>
    <t xml:space="preserve"> Стенд "Меню"(Гранд 2008)</t>
  </si>
  <si>
    <t>94</t>
  </si>
  <si>
    <t>063690247</t>
  </si>
  <si>
    <t xml:space="preserve"> Стенд "Нет терроризму"(Гранд 2008 г.)</t>
  </si>
  <si>
    <t>95</t>
  </si>
  <si>
    <t>063690214</t>
  </si>
  <si>
    <t xml:space="preserve"> Стенд "ПДД" (Гранд 2008 г.)</t>
  </si>
  <si>
    <t>96</t>
  </si>
  <si>
    <t>063690228</t>
  </si>
  <si>
    <t xml:space="preserve"> Стенд "Продленка" (Гранд 2008)</t>
  </si>
  <si>
    <t>97</t>
  </si>
  <si>
    <t>063690221</t>
  </si>
  <si>
    <t xml:space="preserve"> Стенд "Росток" (Гранд 2008)</t>
  </si>
  <si>
    <t>98</t>
  </si>
  <si>
    <t>063690220</t>
  </si>
  <si>
    <t xml:space="preserve"> Стенд "Тополек" (Гранд 2008 г)</t>
  </si>
  <si>
    <t>99</t>
  </si>
  <si>
    <t>063690219</t>
  </si>
  <si>
    <t xml:space="preserve"> Стенд "Ягодки"(Гранд 2008 г)</t>
  </si>
  <si>
    <t>100</t>
  </si>
  <si>
    <t>106211</t>
  </si>
  <si>
    <t xml:space="preserve"> Стенд аудиторный переносной (Гранд 2006)</t>
  </si>
  <si>
    <t>101</t>
  </si>
  <si>
    <t>063610166</t>
  </si>
  <si>
    <t xml:space="preserve"> Стол рабочий ( компьют.)1200х600х870 (Гранд 2007)</t>
  </si>
  <si>
    <t>102</t>
  </si>
  <si>
    <t>063610164</t>
  </si>
  <si>
    <t xml:space="preserve"> Стол рабочий (компьют.) 1200х600х870 (Гранд 2007)</t>
  </si>
  <si>
    <t>103</t>
  </si>
  <si>
    <t>063610163</t>
  </si>
  <si>
    <t xml:space="preserve"> Стол рабочий (компьют.)1200х600х870 (Гранд 2007)</t>
  </si>
  <si>
    <t>104</t>
  </si>
  <si>
    <t>010.6.0487</t>
  </si>
  <si>
    <t xml:space="preserve"> Стол ученич. 2-х местн. нерегул. мелам. 5 гр. (Гранд 2008)</t>
  </si>
  <si>
    <t>140</t>
  </si>
  <si>
    <t>105</t>
  </si>
  <si>
    <t>010.6.0527</t>
  </si>
  <si>
    <t xml:space="preserve"> Строение клетки (Ш) табл.(Гранд 2008)</t>
  </si>
  <si>
    <t>106</t>
  </si>
  <si>
    <t>010.6.0532</t>
  </si>
  <si>
    <t xml:space="preserve"> Строение костей (Ш ) табл.(Гранд 2008)</t>
  </si>
  <si>
    <t>107</t>
  </si>
  <si>
    <t>010.6.0488</t>
  </si>
  <si>
    <t xml:space="preserve"> Стулья ученич. нерег. 5 гр. (Гранд 2008)</t>
  </si>
  <si>
    <t>432</t>
  </si>
  <si>
    <t>108</t>
  </si>
  <si>
    <t>010.6.0029</t>
  </si>
  <si>
    <t xml:space="preserve"> Табурет на металлокаркасе ДСП пластик. покрытие (Гранд 2007)</t>
  </si>
  <si>
    <t>109</t>
  </si>
  <si>
    <t>010.6.0544</t>
  </si>
  <si>
    <t xml:space="preserve"> Типы питания\ синтез белка (Ш) табл. (Гранд 2008) </t>
  </si>
  <si>
    <t>110</t>
  </si>
  <si>
    <t>010.6.0516</t>
  </si>
  <si>
    <t xml:space="preserve"> Фотосинтез\Строение и уровни организ. белка (Ш) таб(Гранд 2008)</t>
  </si>
  <si>
    <t>111</t>
  </si>
  <si>
    <t>010.6.0545</t>
  </si>
  <si>
    <t xml:space="preserve"> Центры происх культ. раст.\Строен. и функции углевод. (Ш) табл.(Гранд 2008)</t>
  </si>
  <si>
    <t>112</t>
  </si>
  <si>
    <t>063610323</t>
  </si>
  <si>
    <t xml:space="preserve"> Шкаф для наглядных пособий 860х384х1805 (ольха горная )(Гранд 2008)</t>
  </si>
  <si>
    <t>113</t>
  </si>
  <si>
    <t>063610314</t>
  </si>
  <si>
    <t xml:space="preserve"> Шкаф для наглядных пособий 860х384х1805 (ольха горная) (Гранд 2008)</t>
  </si>
  <si>
    <t>114</t>
  </si>
  <si>
    <t>063610317</t>
  </si>
  <si>
    <t>115</t>
  </si>
  <si>
    <t>063610328</t>
  </si>
  <si>
    <t xml:space="preserve"> Шкаф для наглядных пособий 860х384х1805 (ольха горная)(Гоанд 2008)</t>
  </si>
  <si>
    <t>116</t>
  </si>
  <si>
    <t>063610312</t>
  </si>
  <si>
    <t xml:space="preserve"> Шкаф для наглядных пособий 860х384х1805 (ольха горная)(Гранд 2008)</t>
  </si>
  <si>
    <t>117</t>
  </si>
  <si>
    <t>063610315</t>
  </si>
  <si>
    <t>118</t>
  </si>
  <si>
    <t>063610316</t>
  </si>
  <si>
    <t>119</t>
  </si>
  <si>
    <t>063610318</t>
  </si>
  <si>
    <t>120</t>
  </si>
  <si>
    <t>063610319</t>
  </si>
  <si>
    <t>121</t>
  </si>
  <si>
    <t>063610321</t>
  </si>
  <si>
    <t>122</t>
  </si>
  <si>
    <t>063610322</t>
  </si>
  <si>
    <t>123</t>
  </si>
  <si>
    <t>063610324</t>
  </si>
  <si>
    <t>124</t>
  </si>
  <si>
    <t>063610325</t>
  </si>
  <si>
    <t>125</t>
  </si>
  <si>
    <t>063610326</t>
  </si>
  <si>
    <t>126</t>
  </si>
  <si>
    <t>063610327</t>
  </si>
  <si>
    <t>127</t>
  </si>
  <si>
    <t>063610329</t>
  </si>
  <si>
    <t>128</t>
  </si>
  <si>
    <t>063610330</t>
  </si>
  <si>
    <t>129</t>
  </si>
  <si>
    <t>063610331</t>
  </si>
  <si>
    <t>130</t>
  </si>
  <si>
    <t>063610332</t>
  </si>
  <si>
    <t>131</t>
  </si>
  <si>
    <t>063610333</t>
  </si>
  <si>
    <t>132</t>
  </si>
  <si>
    <t>063610334</t>
  </si>
  <si>
    <t>133</t>
  </si>
  <si>
    <t>063610335</t>
  </si>
  <si>
    <t>134</t>
  </si>
  <si>
    <t>063610336</t>
  </si>
  <si>
    <t>135</t>
  </si>
  <si>
    <t>063610337</t>
  </si>
  <si>
    <t>136</t>
  </si>
  <si>
    <t>063610338</t>
  </si>
  <si>
    <t>137</t>
  </si>
  <si>
    <t>063610339</t>
  </si>
  <si>
    <t>138</t>
  </si>
  <si>
    <t>063610340</t>
  </si>
  <si>
    <t>139</t>
  </si>
  <si>
    <t>063610341</t>
  </si>
  <si>
    <t>063610342</t>
  </si>
  <si>
    <t>141</t>
  </si>
  <si>
    <t>063610343</t>
  </si>
  <si>
    <t>142</t>
  </si>
  <si>
    <t>063610344</t>
  </si>
  <si>
    <t>143</t>
  </si>
  <si>
    <t>063610345</t>
  </si>
  <si>
    <t>144</t>
  </si>
  <si>
    <t>063610313</t>
  </si>
  <si>
    <t>145</t>
  </si>
  <si>
    <t>010.6.0525</t>
  </si>
  <si>
    <t xml:space="preserve"> Эволюционное древо (Ш) табл.(Гранд 2008)</t>
  </si>
  <si>
    <t>146</t>
  </si>
  <si>
    <t>002.0.0618</t>
  </si>
  <si>
    <t>"огнетушитель"</t>
  </si>
  <si>
    <t>147</t>
  </si>
  <si>
    <t>011.0.0003</t>
  </si>
  <si>
    <t>ARS/S 4X18 наклад. Светильник</t>
  </si>
  <si>
    <t>148</t>
  </si>
  <si>
    <t>011.0.0022</t>
  </si>
  <si>
    <t>ARS/S 4X18 наклад.(светильник)</t>
  </si>
  <si>
    <t>149</t>
  </si>
  <si>
    <t>002.0.0083</t>
  </si>
  <si>
    <t>CD  учим англ слова</t>
  </si>
  <si>
    <t>150</t>
  </si>
  <si>
    <t>002.0.0077</t>
  </si>
  <si>
    <t>CD Alphabyte (iewei)</t>
  </si>
  <si>
    <t>151</t>
  </si>
  <si>
    <t>002.0.0079</t>
  </si>
  <si>
    <t>CD анг. и амер. лит-ра (на англ)</t>
  </si>
  <si>
    <t>152</t>
  </si>
  <si>
    <t>002.0.0070</t>
  </si>
  <si>
    <t>CD Башня знаний</t>
  </si>
  <si>
    <t>153</t>
  </si>
  <si>
    <t>002.0.0041</t>
  </si>
  <si>
    <t>CD библейск. образы в искусстве</t>
  </si>
  <si>
    <t>154</t>
  </si>
  <si>
    <t>002.0.0042</t>
  </si>
  <si>
    <t>CD Валентин Серов</t>
  </si>
  <si>
    <t>155</t>
  </si>
  <si>
    <t>002.0.0043</t>
  </si>
  <si>
    <t>CD Василий Суриков</t>
  </si>
  <si>
    <t>156</t>
  </si>
  <si>
    <t>002.0.0071</t>
  </si>
  <si>
    <t>CD Веселая азбука</t>
  </si>
  <si>
    <t>157</t>
  </si>
  <si>
    <t>002.0.0076</t>
  </si>
  <si>
    <t>CD видеозадачник по физ.</t>
  </si>
  <si>
    <t>158</t>
  </si>
  <si>
    <t>002.0.0080</t>
  </si>
  <si>
    <t>CD граммат. англ.языка</t>
  </si>
  <si>
    <t>159</t>
  </si>
  <si>
    <t>002.0.0030</t>
  </si>
  <si>
    <t>CD дет. энциклоп. КИР. и МЕФ.</t>
  </si>
  <si>
    <t>160</t>
  </si>
  <si>
    <t>110021</t>
  </si>
  <si>
    <t>CD дет. энциклопедия КИР и МЕФ</t>
  </si>
  <si>
    <t>161</t>
  </si>
  <si>
    <t>002.0.0072</t>
  </si>
  <si>
    <t>CD Детская мастерская</t>
  </si>
  <si>
    <t>162</t>
  </si>
  <si>
    <t>002.0.0044</t>
  </si>
  <si>
    <t>CD Золотое кольцо России</t>
  </si>
  <si>
    <t>163</t>
  </si>
  <si>
    <t>002.0.0045</t>
  </si>
  <si>
    <t>CD Иван Айвазовский</t>
  </si>
  <si>
    <t>164</t>
  </si>
  <si>
    <t>002.0.0046</t>
  </si>
  <si>
    <t>CD Иван Шишкин</t>
  </si>
  <si>
    <t>165</t>
  </si>
  <si>
    <t>002.0.0047</t>
  </si>
  <si>
    <t>CD Илья Репин</t>
  </si>
  <si>
    <t>166</t>
  </si>
  <si>
    <t>002.0.0048</t>
  </si>
  <si>
    <t>CD Иссак Левитан</t>
  </si>
  <si>
    <t>167</t>
  </si>
  <si>
    <t>002.0.0031</t>
  </si>
  <si>
    <t>CD кулинарн. энциклоп.</t>
  </si>
  <si>
    <t>168</t>
  </si>
  <si>
    <t>002.0.0073</t>
  </si>
  <si>
    <t>CD Макс и привод из.зам.</t>
  </si>
  <si>
    <t>169</t>
  </si>
  <si>
    <t>002.0.0050</t>
  </si>
  <si>
    <t>CD Михаил Врубель</t>
  </si>
  <si>
    <t>170</t>
  </si>
  <si>
    <t>002.0.0074</t>
  </si>
  <si>
    <t>CD музык. класс</t>
  </si>
  <si>
    <t>171</t>
  </si>
  <si>
    <t>002.0.0081</t>
  </si>
  <si>
    <t>CD немец лит-ра (на нем.яз.)</t>
  </si>
  <si>
    <t>172</t>
  </si>
  <si>
    <t>002.0.0075</t>
  </si>
  <si>
    <t>CD остров драконов башня знан.</t>
  </si>
  <si>
    <t>173</t>
  </si>
  <si>
    <t>002.0.0062</t>
  </si>
  <si>
    <t>CD Рожд карт от замысла к</t>
  </si>
  <si>
    <t>174</t>
  </si>
  <si>
    <t>002.0.0064</t>
  </si>
  <si>
    <t>CD Русск. муз. скульптура</t>
  </si>
  <si>
    <t>175</t>
  </si>
  <si>
    <t>002.0.0065</t>
  </si>
  <si>
    <t xml:space="preserve">CD Русск. муз. ты пришел в музей </t>
  </si>
  <si>
    <t>176</t>
  </si>
  <si>
    <t>002.0.0055</t>
  </si>
  <si>
    <t>CD Русск.муз. Народн.искусс.</t>
  </si>
  <si>
    <t>177</t>
  </si>
  <si>
    <t>002.0.0063</t>
  </si>
  <si>
    <t>CD Русск.муз.рожд.карт.этюд</t>
  </si>
  <si>
    <t>178</t>
  </si>
  <si>
    <t>002.0.0109</t>
  </si>
  <si>
    <t>CD русск.муз.рожден.карт в мас.</t>
  </si>
  <si>
    <t>179</t>
  </si>
  <si>
    <t>002.0.0056</t>
  </si>
  <si>
    <t>CD Русский муз. натюрморт</t>
  </si>
  <si>
    <t>180</t>
  </si>
  <si>
    <t>002.0.0059</t>
  </si>
  <si>
    <t>CD Русский муз. портрет худ. и вре</t>
  </si>
  <si>
    <t>181</t>
  </si>
  <si>
    <t>002.0.0060</t>
  </si>
  <si>
    <t>CD Русский муз. рисунок</t>
  </si>
  <si>
    <t>182</t>
  </si>
  <si>
    <t>002.0.0061</t>
  </si>
  <si>
    <t>CD Русский муз. рожд.карт от нат</t>
  </si>
  <si>
    <t>183</t>
  </si>
  <si>
    <t>002.0.0052</t>
  </si>
  <si>
    <t>CD русский музей акварель</t>
  </si>
  <si>
    <t>184</t>
  </si>
  <si>
    <t>002.0.0053</t>
  </si>
  <si>
    <t>CD Русский музей гравюра</t>
  </si>
  <si>
    <t>185</t>
  </si>
  <si>
    <t>002.0.0054</t>
  </si>
  <si>
    <t>CD Русский музей как смотр карт</t>
  </si>
  <si>
    <t>186</t>
  </si>
  <si>
    <t>002.0.0057</t>
  </si>
  <si>
    <t>CD Русский музей пейзаж</t>
  </si>
  <si>
    <t>187</t>
  </si>
  <si>
    <t>002.0.0058</t>
  </si>
  <si>
    <t>CD Русский музей портрет</t>
  </si>
  <si>
    <t>188</t>
  </si>
  <si>
    <t>002.0.0066</t>
  </si>
  <si>
    <t>CD Сальвадор Дали</t>
  </si>
  <si>
    <t>189</t>
  </si>
  <si>
    <t>002.0.0067</t>
  </si>
  <si>
    <t>CD современ.российск.искуство</t>
  </si>
  <si>
    <t>190</t>
  </si>
  <si>
    <t>002.0.0032</t>
  </si>
  <si>
    <t>CD туристич. атлас</t>
  </si>
  <si>
    <t>191</t>
  </si>
  <si>
    <t>002.0.0084</t>
  </si>
  <si>
    <t>CD учим англ слова</t>
  </si>
  <si>
    <t>192</t>
  </si>
  <si>
    <t>002.0.0068</t>
  </si>
  <si>
    <t>CD Храм Христа спасителя</t>
  </si>
  <si>
    <t>193</t>
  </si>
  <si>
    <t>002.0.0051</t>
  </si>
  <si>
    <t>CD Чайковский жизнь и творчество</t>
  </si>
  <si>
    <t>194</t>
  </si>
  <si>
    <t>002.0.0069</t>
  </si>
  <si>
    <t>CD шедевры архитектуры</t>
  </si>
  <si>
    <t>195</t>
  </si>
  <si>
    <t>002.0.0086</t>
  </si>
  <si>
    <t>CD Шедевры музыки</t>
  </si>
  <si>
    <t>196</t>
  </si>
  <si>
    <t>002.0.0108</t>
  </si>
  <si>
    <t>CD Шедевры русск. живоп.</t>
  </si>
  <si>
    <t>197</t>
  </si>
  <si>
    <t>002.0.0036</t>
  </si>
  <si>
    <t>CD энцикл. поп. музык.</t>
  </si>
  <si>
    <t>198</t>
  </si>
  <si>
    <t>002.0.0039</t>
  </si>
  <si>
    <t>CD энцикл. театр балет</t>
  </si>
  <si>
    <t>199</t>
  </si>
  <si>
    <t>002.0.0038</t>
  </si>
  <si>
    <t>CD энцикл. театр опера</t>
  </si>
  <si>
    <t>200</t>
  </si>
  <si>
    <t>002.0.0040</t>
  </si>
  <si>
    <t>CD энцикл. театра</t>
  </si>
  <si>
    <t>201</t>
  </si>
  <si>
    <t>002.0.0034</t>
  </si>
  <si>
    <t>CD энциклоп. здоровья</t>
  </si>
  <si>
    <t>202</t>
  </si>
  <si>
    <t>002.0.0035</t>
  </si>
  <si>
    <t>CD энциклоп. кино</t>
  </si>
  <si>
    <t>203</t>
  </si>
  <si>
    <t>002.0.0037</t>
  </si>
  <si>
    <t>CD энциклоп. этикета</t>
  </si>
  <si>
    <t>204</t>
  </si>
  <si>
    <t>002.0.0029</t>
  </si>
  <si>
    <t>DVD   автомоб. энциклопедия</t>
  </si>
  <si>
    <t>205</t>
  </si>
  <si>
    <t>002.0.0103</t>
  </si>
  <si>
    <t>DVD (10.2006)</t>
  </si>
  <si>
    <t>206</t>
  </si>
  <si>
    <t>043230295</t>
  </si>
  <si>
    <t>DVD BBK DV 310 SI</t>
  </si>
  <si>
    <t>207</t>
  </si>
  <si>
    <t>1.013.8.0012</t>
  </si>
  <si>
    <t>DVD Буквария.Обучение чтению.Программно-методич. комплекс</t>
  </si>
  <si>
    <t>208</t>
  </si>
  <si>
    <t>1.013.8.0015</t>
  </si>
  <si>
    <t>DVD Диск Reward уровень Full Pack Уровни 1-4</t>
  </si>
  <si>
    <t>209</t>
  </si>
  <si>
    <t>1.013.4.0010</t>
  </si>
  <si>
    <t>DVD проигрыватель  Philips DVP385OK</t>
  </si>
  <si>
    <t>210</t>
  </si>
  <si>
    <t>1.013.4.0048</t>
  </si>
  <si>
    <t>DVD проигрыватель  Philips DVP388OK черн. (февраль 2012)</t>
  </si>
  <si>
    <t>211</t>
  </si>
  <si>
    <t>002.0.0082</t>
  </si>
  <si>
    <t>DVD Сказочный карус. сбор.</t>
  </si>
  <si>
    <t>212</t>
  </si>
  <si>
    <t>1.013.8.0014</t>
  </si>
  <si>
    <t>DVD Фантазеры.Волшебный конструктор. Программно-метод. комплекс</t>
  </si>
  <si>
    <t>213</t>
  </si>
  <si>
    <t>1.013.8.0013</t>
  </si>
  <si>
    <t>DVD Фантазеры.МУЛЬТИтворчество. Программно-метод. комплекс</t>
  </si>
  <si>
    <t>214</t>
  </si>
  <si>
    <t>002.0.0100</t>
  </si>
  <si>
    <t>IC  флот во славу России</t>
  </si>
  <si>
    <t>215</t>
  </si>
  <si>
    <t>002.0.0097</t>
  </si>
  <si>
    <t>IC битва за Москву</t>
  </si>
  <si>
    <t>216</t>
  </si>
  <si>
    <t>002.0.0098</t>
  </si>
  <si>
    <t xml:space="preserve">IC от Кремля до рейстага </t>
  </si>
  <si>
    <t>217</t>
  </si>
  <si>
    <t>002.0.0095</t>
  </si>
  <si>
    <t>IC профессор Хиггинг англ. б/акц</t>
  </si>
  <si>
    <t>218</t>
  </si>
  <si>
    <t>002.0.0094</t>
  </si>
  <si>
    <t>IC профессор Хиггинс  немец. б/а</t>
  </si>
  <si>
    <t>219</t>
  </si>
  <si>
    <t>002.0.0096</t>
  </si>
  <si>
    <t>IC Пушкин в зерк 2х столетий</t>
  </si>
  <si>
    <t>220</t>
  </si>
  <si>
    <t>002.0.0088</t>
  </si>
  <si>
    <t>IC Репетитор  матем. ч1</t>
  </si>
  <si>
    <t>221</t>
  </si>
  <si>
    <t>002.0.0087</t>
  </si>
  <si>
    <t>IC Репетитор биология</t>
  </si>
  <si>
    <t>222</t>
  </si>
  <si>
    <t>002.0.0089</t>
  </si>
  <si>
    <t>IC Репетитор русск. яз.</t>
  </si>
  <si>
    <t>223</t>
  </si>
  <si>
    <t>002.0.0102</t>
  </si>
  <si>
    <t>IC репетитор сдаем един.зкзам.</t>
  </si>
  <si>
    <t>224</t>
  </si>
  <si>
    <t>002.0.0090</t>
  </si>
  <si>
    <t>IC Репетитор тесты по орфогр</t>
  </si>
  <si>
    <t>225</t>
  </si>
  <si>
    <t>002.0.0091</t>
  </si>
  <si>
    <t>IC репетитор тесты по пункт</t>
  </si>
  <si>
    <t>226</t>
  </si>
  <si>
    <t>002.0.0093</t>
  </si>
  <si>
    <t>IC репетитор фихика</t>
  </si>
  <si>
    <t>227</t>
  </si>
  <si>
    <t>002.0.0092</t>
  </si>
  <si>
    <t>IC репетитор химия</t>
  </si>
  <si>
    <t>228</t>
  </si>
  <si>
    <t>002.0.0099</t>
  </si>
  <si>
    <t>IC Россия на рубеже 111 тысяч.</t>
  </si>
  <si>
    <t>229</t>
  </si>
  <si>
    <t>011.0.0047</t>
  </si>
  <si>
    <t>IP телефон D-Link-150 S\RU (МЧС)</t>
  </si>
  <si>
    <t>230</t>
  </si>
  <si>
    <t>063690207</t>
  </si>
  <si>
    <t>SOL палатка "Wonder-2"</t>
  </si>
  <si>
    <t>231</t>
  </si>
  <si>
    <t>063690206</t>
  </si>
  <si>
    <t>SOL палатка "Wonder-3"</t>
  </si>
  <si>
    <t>232</t>
  </si>
  <si>
    <t>010.6.0262</t>
  </si>
  <si>
    <t>Австралия и Новая Зеландия. Социально-экономическая карта</t>
  </si>
  <si>
    <t>233</t>
  </si>
  <si>
    <t>010.6.0249</t>
  </si>
  <si>
    <t xml:space="preserve">Австралия и Океания. Политическая карта </t>
  </si>
  <si>
    <t>234</t>
  </si>
  <si>
    <t>010.6.0250</t>
  </si>
  <si>
    <t>Австралия и Океания. Физическая карта</t>
  </si>
  <si>
    <t>235</t>
  </si>
  <si>
    <t>002.0.0339</t>
  </si>
  <si>
    <t>автотрансформатор</t>
  </si>
  <si>
    <t>236</t>
  </si>
  <si>
    <t>010.6.0264</t>
  </si>
  <si>
    <t>агроклиматическая карта России</t>
  </si>
  <si>
    <t>237</t>
  </si>
  <si>
    <t>010.6.0278</t>
  </si>
  <si>
    <t>Агропромышленный комплекс России</t>
  </si>
  <si>
    <t>238</t>
  </si>
  <si>
    <t>002.0.0310</t>
  </si>
  <si>
    <t>альбом</t>
  </si>
  <si>
    <t>239</t>
  </si>
  <si>
    <t>002.0.0309</t>
  </si>
  <si>
    <t xml:space="preserve">альбом Горького </t>
  </si>
  <si>
    <t>240</t>
  </si>
  <si>
    <t>002.0.0315</t>
  </si>
  <si>
    <t>альбом Лермонтова</t>
  </si>
  <si>
    <t>241</t>
  </si>
  <si>
    <t>002.0.0308</t>
  </si>
  <si>
    <t>альбом Маяковского</t>
  </si>
  <si>
    <t>242</t>
  </si>
  <si>
    <t>002.0.0314</t>
  </si>
  <si>
    <t>243</t>
  </si>
  <si>
    <t>002.0.0312</t>
  </si>
  <si>
    <t>альбом по литературе</t>
  </si>
  <si>
    <t>244</t>
  </si>
  <si>
    <t>002.0.0313</t>
  </si>
  <si>
    <t>альбом Пушкина</t>
  </si>
  <si>
    <t>245</t>
  </si>
  <si>
    <t>002.0.0311</t>
  </si>
  <si>
    <t xml:space="preserve">альбом Шолохова </t>
  </si>
  <si>
    <t>246</t>
  </si>
  <si>
    <t>002.0.0596</t>
  </si>
  <si>
    <t>ампервольтметр</t>
  </si>
  <si>
    <t>247</t>
  </si>
  <si>
    <t>002.0.0119</t>
  </si>
  <si>
    <t>амперметр</t>
  </si>
  <si>
    <t>248</t>
  </si>
  <si>
    <t>002.0.0372</t>
  </si>
  <si>
    <t>амперметр лаб. постоянного тока</t>
  </si>
  <si>
    <t>249</t>
  </si>
  <si>
    <t>002.0.0462</t>
  </si>
  <si>
    <t>амперметр лаб.2.5</t>
  </si>
  <si>
    <t>250</t>
  </si>
  <si>
    <t>002.0.0371</t>
  </si>
  <si>
    <t>амперметр лабораторный</t>
  </si>
  <si>
    <t>251</t>
  </si>
  <si>
    <t>002.0.0375</t>
  </si>
  <si>
    <t>амперметр переменного тока</t>
  </si>
  <si>
    <t>252</t>
  </si>
  <si>
    <t>010.6.0252</t>
  </si>
  <si>
    <t>Антарктика. Комплекс ная карта</t>
  </si>
  <si>
    <t>253</t>
  </si>
  <si>
    <t>011.0.0034</t>
  </si>
  <si>
    <t xml:space="preserve">Аппарат для воды (36 ТК) (куллер) </t>
  </si>
  <si>
    <t>254</t>
  </si>
  <si>
    <t>1.013.6.0057</t>
  </si>
  <si>
    <t>Аптечка промышленная ( пластиковый шкаф)</t>
  </si>
  <si>
    <t>255</t>
  </si>
  <si>
    <t>010.6.0346</t>
  </si>
  <si>
    <t>арфа</t>
  </si>
  <si>
    <t>256</t>
  </si>
  <si>
    <t>010.6.0254</t>
  </si>
  <si>
    <t>Африка. Политическая карта</t>
  </si>
  <si>
    <t>257</t>
  </si>
  <si>
    <t>010.6.0260</t>
  </si>
  <si>
    <t>Африка. Социально-экономическая карта</t>
  </si>
  <si>
    <t>258</t>
  </si>
  <si>
    <t>010.6.0255</t>
  </si>
  <si>
    <t>Африка.Физическая карта</t>
  </si>
  <si>
    <t>259</t>
  </si>
  <si>
    <t>010.6.0358</t>
  </si>
  <si>
    <t>Банкетка 1 к\з зелен.</t>
  </si>
  <si>
    <t>260</t>
  </si>
  <si>
    <t>010.6.0368</t>
  </si>
  <si>
    <t>Банкетка мягкая к\а бордо</t>
  </si>
  <si>
    <t>261</t>
  </si>
  <si>
    <t>002.0.0113</t>
  </si>
  <si>
    <t>барометр</t>
  </si>
  <si>
    <t>262</t>
  </si>
  <si>
    <t>010.6.0311</t>
  </si>
  <si>
    <t>Барометр-анероид</t>
  </si>
  <si>
    <t>263</t>
  </si>
  <si>
    <t>002.0.0366</t>
  </si>
  <si>
    <t>барометр-анероид</t>
  </si>
  <si>
    <t>264</t>
  </si>
  <si>
    <t>002.0.0470</t>
  </si>
  <si>
    <t>барометр-анероид ( Гранд 06г.)</t>
  </si>
  <si>
    <t>265</t>
  </si>
  <si>
    <t>002.0.0374</t>
  </si>
  <si>
    <t>батарея кремниевая солнечная</t>
  </si>
  <si>
    <t>266</t>
  </si>
  <si>
    <t>002.0.0177</t>
  </si>
  <si>
    <t>баян</t>
  </si>
  <si>
    <t>267</t>
  </si>
  <si>
    <t>063690256</t>
  </si>
  <si>
    <t>Беседка- песочница (акт рев.)</t>
  </si>
  <si>
    <t>268</t>
  </si>
  <si>
    <t>002.0.0373</t>
  </si>
  <si>
    <t>бинокль</t>
  </si>
  <si>
    <t>269</t>
  </si>
  <si>
    <t>002.0.0364</t>
  </si>
  <si>
    <t>биопризма Френкеля</t>
  </si>
  <si>
    <t>270</t>
  </si>
  <si>
    <t>010.6.0518</t>
  </si>
  <si>
    <t>Биосфера \Стр. и функц. нуклеин. кислот (Ш) табл.(Гранд 2008)</t>
  </si>
  <si>
    <t>271</t>
  </si>
  <si>
    <t>002.0.0580</t>
  </si>
  <si>
    <t>блок ролик</t>
  </si>
  <si>
    <t>272</t>
  </si>
  <si>
    <t>010.7.0089</t>
  </si>
  <si>
    <t>Большая Российская энциклопедия  т. 15 (к\о)</t>
  </si>
  <si>
    <t>273</t>
  </si>
  <si>
    <t>010.7.0090</t>
  </si>
  <si>
    <t>Большая Российская энциклопедия  т. 16 ( к\о)</t>
  </si>
  <si>
    <t>274</t>
  </si>
  <si>
    <t>010.7.0023</t>
  </si>
  <si>
    <t>Большая Российская энциклопедия т.13 ( к\о)</t>
  </si>
  <si>
    <t>275</t>
  </si>
  <si>
    <t>010.7.0024</t>
  </si>
  <si>
    <t>Большая Российская энциклопедия т.14 ( к\о)</t>
  </si>
  <si>
    <t>276</t>
  </si>
  <si>
    <t>002.0.0198</t>
  </si>
  <si>
    <t>ботинки для лыж</t>
  </si>
  <si>
    <t>277</t>
  </si>
  <si>
    <t>002.0.0197</t>
  </si>
  <si>
    <t>ботинки лыжные</t>
  </si>
  <si>
    <t>278</t>
  </si>
  <si>
    <t>002.0.0013</t>
  </si>
  <si>
    <t>279</t>
  </si>
  <si>
    <t>002.0.0658</t>
  </si>
  <si>
    <t>ботинки лыжные (11.2007 г.)</t>
  </si>
  <si>
    <t>280</t>
  </si>
  <si>
    <t>063610391</t>
  </si>
  <si>
    <t>Брифинг (2008 г)</t>
  </si>
  <si>
    <t>281</t>
  </si>
  <si>
    <t>002.0.0659</t>
  </si>
  <si>
    <t>ведро</t>
  </si>
  <si>
    <t>282</t>
  </si>
  <si>
    <t>010.6.0445</t>
  </si>
  <si>
    <t>Ведро</t>
  </si>
  <si>
    <t>283</t>
  </si>
  <si>
    <t>050.5.0476</t>
  </si>
  <si>
    <t>Ведро 10 л б\кр ( 2009 г)</t>
  </si>
  <si>
    <t>284</t>
  </si>
  <si>
    <t>050.5.0486</t>
  </si>
  <si>
    <t>Ведро оцинков. 9 л (09г)</t>
  </si>
  <si>
    <t>285</t>
  </si>
  <si>
    <t>002.0.0288</t>
  </si>
  <si>
    <t>ведро оцинкованное (04.2007г.)</t>
  </si>
  <si>
    <t>286</t>
  </si>
  <si>
    <t>ведро эмалированное 09.2003г.</t>
  </si>
  <si>
    <t>287</t>
  </si>
  <si>
    <t>010.6.0235</t>
  </si>
  <si>
    <t>Великие географические открытия</t>
  </si>
  <si>
    <t>288</t>
  </si>
  <si>
    <t>вентилятор (05.06)</t>
  </si>
  <si>
    <t>289</t>
  </si>
  <si>
    <t>002.0.0579</t>
  </si>
  <si>
    <t>веревка</t>
  </si>
  <si>
    <t>290</t>
  </si>
  <si>
    <t>002.0.0581</t>
  </si>
  <si>
    <t>291</t>
  </si>
  <si>
    <t>010.6.0433</t>
  </si>
  <si>
    <t>Веревка СС динамическая 10мм. (Коломна)</t>
  </si>
  <si>
    <t>292</t>
  </si>
  <si>
    <t>002.0.0624</t>
  </si>
  <si>
    <t>Веревка СС статическая "Венто" 10мм</t>
  </si>
  <si>
    <t>293</t>
  </si>
  <si>
    <t>110018</t>
  </si>
  <si>
    <t>Верстак слесарный</t>
  </si>
  <si>
    <t>294</t>
  </si>
  <si>
    <t>110019</t>
  </si>
  <si>
    <t>верстак слесарный</t>
  </si>
  <si>
    <t>295</t>
  </si>
  <si>
    <t>002.0.0598</t>
  </si>
  <si>
    <t>верстак столярный</t>
  </si>
  <si>
    <t>296</t>
  </si>
  <si>
    <t>106110</t>
  </si>
  <si>
    <t>Весы</t>
  </si>
  <si>
    <t>297</t>
  </si>
  <si>
    <t>002.0.0390</t>
  </si>
  <si>
    <t>весы учебные лабораторные</t>
  </si>
  <si>
    <t>298</t>
  </si>
  <si>
    <t>010.6.0623</t>
  </si>
  <si>
    <t>Весы электронные (1)</t>
  </si>
  <si>
    <t>299</t>
  </si>
  <si>
    <t>010.6.0622</t>
  </si>
  <si>
    <t>Весы электронные (2)</t>
  </si>
  <si>
    <t>300</t>
  </si>
  <si>
    <t>002.0.0306</t>
  </si>
  <si>
    <t>вешалка</t>
  </si>
  <si>
    <t>301</t>
  </si>
  <si>
    <t>002.0.0104</t>
  </si>
  <si>
    <t>видеомагнитофон (10.2006)</t>
  </si>
  <si>
    <t>302</t>
  </si>
  <si>
    <t>106047</t>
  </si>
  <si>
    <t>винтовка пневматическая</t>
  </si>
  <si>
    <t>303</t>
  </si>
  <si>
    <t>106048</t>
  </si>
  <si>
    <t>304</t>
  </si>
  <si>
    <t>104014</t>
  </si>
  <si>
    <t>305</t>
  </si>
  <si>
    <t>010.6.0492</t>
  </si>
  <si>
    <t>306</t>
  </si>
  <si>
    <t>106096</t>
  </si>
  <si>
    <t xml:space="preserve">винтовка пневматическая </t>
  </si>
  <si>
    <t>307</t>
  </si>
  <si>
    <t>106197</t>
  </si>
  <si>
    <t>Витрина для наглядных пособий 1100х550х300 (Грант 2006)</t>
  </si>
  <si>
    <t>308</t>
  </si>
  <si>
    <t>010.6.0267</t>
  </si>
  <si>
    <t>Водные ресурсы России</t>
  </si>
  <si>
    <t>309</t>
  </si>
  <si>
    <t>1.013.6.0067</t>
  </si>
  <si>
    <t>Водонагреватель АQUAPLUS(д\с 21)</t>
  </si>
  <si>
    <t>310</t>
  </si>
  <si>
    <t>1.013.6.0066</t>
  </si>
  <si>
    <t>Водонагреватель ПВЭН220-5,0(д\с 21)</t>
  </si>
  <si>
    <t>311</t>
  </si>
  <si>
    <t>002.0.0368</t>
  </si>
  <si>
    <t>воздуходувка</t>
  </si>
  <si>
    <t>312</t>
  </si>
  <si>
    <t>002.0.0147</t>
  </si>
  <si>
    <t>вольтметр</t>
  </si>
  <si>
    <t>313</t>
  </si>
  <si>
    <t>002.0.0463</t>
  </si>
  <si>
    <t>вольтметр лабор.-2.5 (Гранд 06г.)</t>
  </si>
  <si>
    <t>314</t>
  </si>
  <si>
    <t>002.0.0367</t>
  </si>
  <si>
    <t>вольтметр учебный</t>
  </si>
  <si>
    <t>315</t>
  </si>
  <si>
    <t>002.0.0142</t>
  </si>
  <si>
    <t>ворот демонстрационный</t>
  </si>
  <si>
    <t>316</t>
  </si>
  <si>
    <t>010.6.0300</t>
  </si>
  <si>
    <t>Восточная Сибирь и Дальний Восток. Социально-экономическая карта</t>
  </si>
  <si>
    <t>317</t>
  </si>
  <si>
    <t>010.6.0295</t>
  </si>
  <si>
    <t>Восточная Сибирь.Физическая карта</t>
  </si>
  <si>
    <t>318</t>
  </si>
  <si>
    <t>110030</t>
  </si>
  <si>
    <t xml:space="preserve">Вывеска </t>
  </si>
  <si>
    <t>319</t>
  </si>
  <si>
    <t>002.0.0562</t>
  </si>
  <si>
    <t>выжигатель</t>
  </si>
  <si>
    <t>320</t>
  </si>
  <si>
    <t>выпрямитель ВУП-2</t>
  </si>
  <si>
    <t>321</t>
  </si>
  <si>
    <t>002.0.0337</t>
  </si>
  <si>
    <t>выпрямитель селеновый</t>
  </si>
  <si>
    <t>322</t>
  </si>
  <si>
    <t>гальванометр демонстрац.</t>
  </si>
  <si>
    <t>323</t>
  </si>
  <si>
    <t>002.0.0380</t>
  </si>
  <si>
    <t>гальванометр демонстрационный</t>
  </si>
  <si>
    <t>324</t>
  </si>
  <si>
    <t>061720208</t>
  </si>
  <si>
    <t>Гардинно тюлевое полотно  2008г.</t>
  </si>
  <si>
    <t>325</t>
  </si>
  <si>
    <t>002.0.0345</t>
  </si>
  <si>
    <t>генератор звуковой</t>
  </si>
  <si>
    <t>326</t>
  </si>
  <si>
    <t>010.6.0265</t>
  </si>
  <si>
    <t>геологическая карта России</t>
  </si>
  <si>
    <t>327</t>
  </si>
  <si>
    <t>002.0.0323</t>
  </si>
  <si>
    <t>геом. фигуры по стереом (Гранд 2006г.)</t>
  </si>
  <si>
    <t>328</t>
  </si>
  <si>
    <t>002.0.0159</t>
  </si>
  <si>
    <t>гербарий культурных растений</t>
  </si>
  <si>
    <t>329</t>
  </si>
  <si>
    <t>010.6.0315</t>
  </si>
  <si>
    <t>Гербарий растений природных зон России</t>
  </si>
  <si>
    <t>330</t>
  </si>
  <si>
    <t>110003</t>
  </si>
  <si>
    <t>Гербовая печать</t>
  </si>
  <si>
    <t>331</t>
  </si>
  <si>
    <t>002.0.0118</t>
  </si>
  <si>
    <t>гигрометр</t>
  </si>
  <si>
    <t>332</t>
  </si>
  <si>
    <t>002.0.0438</t>
  </si>
  <si>
    <t>гигрометр с грушей</t>
  </si>
  <si>
    <t>333</t>
  </si>
  <si>
    <t>002.0.0474</t>
  </si>
  <si>
    <t>глобус</t>
  </si>
  <si>
    <t>334</t>
  </si>
  <si>
    <t>002.0.0473</t>
  </si>
  <si>
    <t>глобус большой</t>
  </si>
  <si>
    <t>335</t>
  </si>
  <si>
    <t>002.0.0472</t>
  </si>
  <si>
    <t>глобус земли 1:50 (Гранд 06г.)</t>
  </si>
  <si>
    <t>336</t>
  </si>
  <si>
    <t>010.6.0313</t>
  </si>
  <si>
    <t>Глобус Земли политический</t>
  </si>
  <si>
    <t>337</t>
  </si>
  <si>
    <t>002.0.0471</t>
  </si>
  <si>
    <t>глобус земли физ.мал. (Гранд 06г.)</t>
  </si>
  <si>
    <t>338</t>
  </si>
  <si>
    <t>010.6.0312</t>
  </si>
  <si>
    <t>Глобус Земли физический</t>
  </si>
  <si>
    <t>339</t>
  </si>
  <si>
    <t>010.6.0314</t>
  </si>
  <si>
    <t>Глобус Земли физический лабораторный</t>
  </si>
  <si>
    <t>340</t>
  </si>
  <si>
    <t>002.0.0442</t>
  </si>
  <si>
    <t>глобус луны</t>
  </si>
  <si>
    <t>341</t>
  </si>
  <si>
    <t>002.0.0344</t>
  </si>
  <si>
    <t>головной телефон</t>
  </si>
  <si>
    <t>342</t>
  </si>
  <si>
    <t>063690258</t>
  </si>
  <si>
    <t>Горка детская (акт рев.)</t>
  </si>
  <si>
    <t>343</t>
  </si>
  <si>
    <t>010.6.0482</t>
  </si>
  <si>
    <t>Горки спортивные ( акт рев.)</t>
  </si>
  <si>
    <t>344</t>
  </si>
  <si>
    <t>010.6.0246</t>
  </si>
  <si>
    <t>государства мира / государства мира,контурная</t>
  </si>
  <si>
    <t>345</t>
  </si>
  <si>
    <t>011.0.0011</t>
  </si>
  <si>
    <t>Грабли</t>
  </si>
  <si>
    <t>346</t>
  </si>
  <si>
    <t>грабли  12-ти зубые</t>
  </si>
  <si>
    <t>347</t>
  </si>
  <si>
    <t>002.0.0571</t>
  </si>
  <si>
    <t>гранаты</t>
  </si>
  <si>
    <t>348</t>
  </si>
  <si>
    <t>002.0.0017</t>
  </si>
  <si>
    <t>гранаты  500г (05,2003г.)</t>
  </si>
  <si>
    <t>349</t>
  </si>
  <si>
    <t>002.0.0028</t>
  </si>
  <si>
    <t>гранаты 500г</t>
  </si>
  <si>
    <t>350</t>
  </si>
  <si>
    <t>002.0.0016</t>
  </si>
  <si>
    <t>гранаты 700г (05.2003г.)</t>
  </si>
  <si>
    <t>351</t>
  </si>
  <si>
    <t>002.0.0124</t>
  </si>
  <si>
    <t>граны 700 г (акт рев.)</t>
  </si>
  <si>
    <t>352</t>
  </si>
  <si>
    <t>011.0.0032</t>
  </si>
  <si>
    <t>Грелка резиновая</t>
  </si>
  <si>
    <t>353</t>
  </si>
  <si>
    <t>010.6.0296</t>
  </si>
  <si>
    <t>Дальний Восток.Физическая карта</t>
  </si>
  <si>
    <t>354</t>
  </si>
  <si>
    <t>1.013.8.0011</t>
  </si>
  <si>
    <t>Держатель микрофона</t>
  </si>
  <si>
    <t>355</t>
  </si>
  <si>
    <t>002.0.0138</t>
  </si>
  <si>
    <t>динамомашина</t>
  </si>
  <si>
    <t>356</t>
  </si>
  <si>
    <t>002.0.0137</t>
  </si>
  <si>
    <t>динамометр демонстрационный</t>
  </si>
  <si>
    <t>357</t>
  </si>
  <si>
    <t>002.0.0432</t>
  </si>
  <si>
    <t>диск вращающийся</t>
  </si>
  <si>
    <t>358</t>
  </si>
  <si>
    <t>002.0.0101</t>
  </si>
  <si>
    <t>Домашние продукты LINGVO</t>
  </si>
  <si>
    <t>359</t>
  </si>
  <si>
    <t>061720429</t>
  </si>
  <si>
    <t>Дорожка крас. 35 м ( 2008 г.)</t>
  </si>
  <si>
    <t>360</t>
  </si>
  <si>
    <t>061720428</t>
  </si>
  <si>
    <t>Дорожка красная 5 м ( 2008 г.)</t>
  </si>
  <si>
    <t>361</t>
  </si>
  <si>
    <t>002.0.0237</t>
  </si>
  <si>
    <t>доска классная</t>
  </si>
  <si>
    <t>362</t>
  </si>
  <si>
    <t>010.6.1051</t>
  </si>
  <si>
    <t xml:space="preserve">доска магнитная </t>
  </si>
  <si>
    <t>363</t>
  </si>
  <si>
    <t>002.0.0163</t>
  </si>
  <si>
    <t>доска разделочная</t>
  </si>
  <si>
    <t>364</t>
  </si>
  <si>
    <t>010.6.0963</t>
  </si>
  <si>
    <t>Дрель аккум-шурупов., реверс.18В MASB-FX-18-1?5 10мм, 0-550 о/м(кор №2)</t>
  </si>
  <si>
    <t>365</t>
  </si>
  <si>
    <t>002.0.0433</t>
  </si>
  <si>
    <t>дросельная катушка</t>
  </si>
  <si>
    <t>366</t>
  </si>
  <si>
    <t>002.0.0145</t>
  </si>
  <si>
    <t>дроссельная катушка</t>
  </si>
  <si>
    <t>367</t>
  </si>
  <si>
    <t>010.6.0256</t>
  </si>
  <si>
    <t>Евразия. Политическая карта</t>
  </si>
  <si>
    <t>368</t>
  </si>
  <si>
    <t>010.6.0263</t>
  </si>
  <si>
    <t>Евразия. Социально-экономическая карта</t>
  </si>
  <si>
    <t>369</t>
  </si>
  <si>
    <t>010.6.0257</t>
  </si>
  <si>
    <t>Евразия. Физическая карта</t>
  </si>
  <si>
    <t>370</t>
  </si>
  <si>
    <t>010.6.0299</t>
  </si>
  <si>
    <t>Европейский Север и Северо-Запад России. Социально-экономическая карта</t>
  </si>
  <si>
    <t>371</t>
  </si>
  <si>
    <t>010.6.0298</t>
  </si>
  <si>
    <t>Европейский Север и Северо-Запад России. Физическая карта</t>
  </si>
  <si>
    <t>372</t>
  </si>
  <si>
    <t>010.6.0291</t>
  </si>
  <si>
    <t>Европейский юг Росии. Социально-экономическая карта</t>
  </si>
  <si>
    <t>373</t>
  </si>
  <si>
    <t>010.6.0292</t>
  </si>
  <si>
    <t>Европейский юг России.Физическая карта</t>
  </si>
  <si>
    <t>374</t>
  </si>
  <si>
    <t>002.0.0218</t>
  </si>
  <si>
    <t>жалюзи (10.2006)</t>
  </si>
  <si>
    <t>375</t>
  </si>
  <si>
    <t>002.0.0638</t>
  </si>
  <si>
    <t>Жалюзи (для линг. каб.)</t>
  </si>
  <si>
    <t>376</t>
  </si>
  <si>
    <t>061720418</t>
  </si>
  <si>
    <t xml:space="preserve">Жалюзи вертик. 1.84х2.50 </t>
  </si>
  <si>
    <t>377</t>
  </si>
  <si>
    <t>011.0.0033</t>
  </si>
  <si>
    <t>Жгут к\о венозный</t>
  </si>
  <si>
    <t>378</t>
  </si>
  <si>
    <t>002.0.0223</t>
  </si>
  <si>
    <t>журнальный стол (10.2006)</t>
  </si>
  <si>
    <t>379</t>
  </si>
  <si>
    <t>010.6.0294</t>
  </si>
  <si>
    <t>Западная Сибирь.Социально-экономическая карта</t>
  </si>
  <si>
    <t>380</t>
  </si>
  <si>
    <t>010.6.0293</t>
  </si>
  <si>
    <t>Западная Сибирь.Физическая карта</t>
  </si>
  <si>
    <t>381</t>
  </si>
  <si>
    <t>002.0.0486</t>
  </si>
  <si>
    <t>Зарубежная Европа (Гранд 06г.)</t>
  </si>
  <si>
    <t>382</t>
  </si>
  <si>
    <t>010.6.0251</t>
  </si>
  <si>
    <t>зарубежная Европа. Политическая карта</t>
  </si>
  <si>
    <t>010.6.0261</t>
  </si>
  <si>
    <t>Зарубежная Европа. Социально-экономическая карта</t>
  </si>
  <si>
    <t>384</t>
  </si>
  <si>
    <t>010.6.0268</t>
  </si>
  <si>
    <t>земельные ресурсы</t>
  </si>
  <si>
    <t>385</t>
  </si>
  <si>
    <t>002.0.0116</t>
  </si>
  <si>
    <t>зеркал о</t>
  </si>
  <si>
    <t>386</t>
  </si>
  <si>
    <t>002.0.0648</t>
  </si>
  <si>
    <t>зеркало</t>
  </si>
  <si>
    <t>387</t>
  </si>
  <si>
    <t>002.0.0002</t>
  </si>
  <si>
    <t>388</t>
  </si>
  <si>
    <t>002.0.0117</t>
  </si>
  <si>
    <t>Зеркало</t>
  </si>
  <si>
    <t>389</t>
  </si>
  <si>
    <t>002.0.0689</t>
  </si>
  <si>
    <t>390</t>
  </si>
  <si>
    <t>002.0.0420</t>
  </si>
  <si>
    <t>зеркало на подставке</t>
  </si>
  <si>
    <t>391</t>
  </si>
  <si>
    <t>002.0.0700</t>
  </si>
  <si>
    <t>зеркало настенное</t>
  </si>
  <si>
    <t>392</t>
  </si>
  <si>
    <t>1.013.6.0024</t>
  </si>
  <si>
    <t>Зеркало настенное</t>
  </si>
  <si>
    <t>393</t>
  </si>
  <si>
    <t>1.013.6.0025</t>
  </si>
  <si>
    <t>394</t>
  </si>
  <si>
    <t>063690402</t>
  </si>
  <si>
    <t>Зеркало настенное (2008)</t>
  </si>
  <si>
    <t>395</t>
  </si>
  <si>
    <t>063690403</t>
  </si>
  <si>
    <t>396</t>
  </si>
  <si>
    <t>063690404</t>
  </si>
  <si>
    <t>397</t>
  </si>
  <si>
    <t>063690405</t>
  </si>
  <si>
    <t>398</t>
  </si>
  <si>
    <t>010.6.0236</t>
  </si>
  <si>
    <t>зоогеографическая карта мира</t>
  </si>
  <si>
    <t>399</t>
  </si>
  <si>
    <t>002.0.0167</t>
  </si>
  <si>
    <t>зубило</t>
  </si>
  <si>
    <t>400</t>
  </si>
  <si>
    <t>011.0.0043</t>
  </si>
  <si>
    <t>ИБП lppon Blek Verso 400 lite version (МЧС)  (бесперебойник 12.2010 г.)</t>
  </si>
  <si>
    <t>401</t>
  </si>
  <si>
    <t>011.0.0040</t>
  </si>
  <si>
    <t>ИБП lppon Comfo Pro 600 black (бесперебойник 2010 г.)</t>
  </si>
  <si>
    <t>402</t>
  </si>
  <si>
    <t>050</t>
  </si>
  <si>
    <t>Ингалятор</t>
  </si>
  <si>
    <t>403</t>
  </si>
  <si>
    <t>002.0.0425</t>
  </si>
  <si>
    <t>индикатор ионизиров.частиц</t>
  </si>
  <si>
    <t>404</t>
  </si>
  <si>
    <t>002.0.0419</t>
  </si>
  <si>
    <t>индикатор часового типа</t>
  </si>
  <si>
    <t>405</t>
  </si>
  <si>
    <t>002.0.0424</t>
  </si>
  <si>
    <t>индуктор высоковольтный</t>
  </si>
  <si>
    <t>406</t>
  </si>
  <si>
    <t>002.0.0110</t>
  </si>
  <si>
    <t>индукционная катушка</t>
  </si>
  <si>
    <t>407</t>
  </si>
  <si>
    <t>104016</t>
  </si>
  <si>
    <t>источник бесперебойного питания</t>
  </si>
  <si>
    <t>408</t>
  </si>
  <si>
    <t>002.0.0671</t>
  </si>
  <si>
    <t>источник питания</t>
  </si>
  <si>
    <t>409</t>
  </si>
  <si>
    <t>002.0.0423</t>
  </si>
  <si>
    <t>источник тока фотоэлектрическ.</t>
  </si>
  <si>
    <t>410</t>
  </si>
  <si>
    <t>1.083.0.0709</t>
  </si>
  <si>
    <t>калькулятор</t>
  </si>
  <si>
    <t>411</t>
  </si>
  <si>
    <t>1.083.0.0710</t>
  </si>
  <si>
    <t>Калькулятор</t>
  </si>
  <si>
    <t>412</t>
  </si>
  <si>
    <t>камертон</t>
  </si>
  <si>
    <t>413</t>
  </si>
  <si>
    <t>002.0.0377</t>
  </si>
  <si>
    <t>камертон "Ля" с молоточком</t>
  </si>
  <si>
    <t>414</t>
  </si>
  <si>
    <t>002.0.0376</t>
  </si>
  <si>
    <t>камертон "Ре"</t>
  </si>
  <si>
    <t>415</t>
  </si>
  <si>
    <t>002.0.0014</t>
  </si>
  <si>
    <t>канат  д/лазанья  (05.2003г.)</t>
  </si>
  <si>
    <t>416</t>
  </si>
  <si>
    <t>106038</t>
  </si>
  <si>
    <t>канат гимнастический</t>
  </si>
  <si>
    <t>417</t>
  </si>
  <si>
    <t>106064</t>
  </si>
  <si>
    <t>Канат гимнастический</t>
  </si>
  <si>
    <t>418</t>
  </si>
  <si>
    <t>002.0.0625</t>
  </si>
  <si>
    <t>Карабин "Классический автомат.("Венто")</t>
  </si>
  <si>
    <t>419</t>
  </si>
  <si>
    <t>000.0.0002</t>
  </si>
  <si>
    <t>карабин "Ринг"</t>
  </si>
  <si>
    <t>420</t>
  </si>
  <si>
    <t>002.0.0573</t>
  </si>
  <si>
    <t>Карабин Кремль</t>
  </si>
  <si>
    <t>421</t>
  </si>
  <si>
    <t>002.0.0578</t>
  </si>
  <si>
    <t>карабин стальной</t>
  </si>
  <si>
    <t>422</t>
  </si>
  <si>
    <t>002.0.0256</t>
  </si>
  <si>
    <t>карниз 05.2005г.</t>
  </si>
  <si>
    <t>423</t>
  </si>
  <si>
    <t>карниз 2,5 м (04.06)</t>
  </si>
  <si>
    <t>424</t>
  </si>
  <si>
    <t>карнизы</t>
  </si>
  <si>
    <t>425</t>
  </si>
  <si>
    <t>002.0.0157</t>
  </si>
  <si>
    <t>карта</t>
  </si>
  <si>
    <t>426</t>
  </si>
  <si>
    <t>002.0.0010</t>
  </si>
  <si>
    <t>427</t>
  </si>
  <si>
    <t>010.6.0303</t>
  </si>
  <si>
    <t>Карта Звездного неба без масштаба</t>
  </si>
  <si>
    <t>428</t>
  </si>
  <si>
    <t>002.0.0158</t>
  </si>
  <si>
    <t>карта по географии</t>
  </si>
  <si>
    <t>429</t>
  </si>
  <si>
    <t>002.0.0477</t>
  </si>
  <si>
    <t>Карта Российской Федерации</t>
  </si>
  <si>
    <t>430</t>
  </si>
  <si>
    <t>002.0.0156</t>
  </si>
  <si>
    <t>карты</t>
  </si>
  <si>
    <t>431</t>
  </si>
  <si>
    <t>002.0.0676</t>
  </si>
  <si>
    <t>Кастрюля 10 л алюмин.14100 (2009г.)</t>
  </si>
  <si>
    <t>002.0.0674</t>
  </si>
  <si>
    <t>Кастрюля 20 л алюмин. (2009г.)</t>
  </si>
  <si>
    <t>433</t>
  </si>
  <si>
    <t>002.0.0675</t>
  </si>
  <si>
    <t>Кастрюля 40 л алюмин. (2009г.)</t>
  </si>
  <si>
    <t>434</t>
  </si>
  <si>
    <t>002.0.0155</t>
  </si>
  <si>
    <t>катушка д\дем. магнитного поля</t>
  </si>
  <si>
    <t>435</t>
  </si>
  <si>
    <t>002.0.0464</t>
  </si>
  <si>
    <t>катушка-моток лабор. (Гранд 06г.)</t>
  </si>
  <si>
    <t>436</t>
  </si>
  <si>
    <t>063690259</t>
  </si>
  <si>
    <t>Качели детские (акт рев.)</t>
  </si>
  <si>
    <t>437</t>
  </si>
  <si>
    <t>010.6.1016</t>
  </si>
  <si>
    <t>Кегли ( дек.2010)</t>
  </si>
  <si>
    <t>438</t>
  </si>
  <si>
    <t>002.0.0636</t>
  </si>
  <si>
    <t>кегли большие ( акт рев.)</t>
  </si>
  <si>
    <t>439</t>
  </si>
  <si>
    <t>002.0.0637</t>
  </si>
  <si>
    <t>кегли мален. ( акт рев.)</t>
  </si>
  <si>
    <t>440</t>
  </si>
  <si>
    <t>002.0.0277</t>
  </si>
  <si>
    <t xml:space="preserve">клавиатура Genius </t>
  </si>
  <si>
    <t>441</t>
  </si>
  <si>
    <t>011.0.0044</t>
  </si>
  <si>
    <t>Клавиатура Genius G-KB 120 U ( дек.2010 )</t>
  </si>
  <si>
    <t>442</t>
  </si>
  <si>
    <t>002.0.0484</t>
  </si>
  <si>
    <t>Клима. карта России (Гранд 06г.)</t>
  </si>
  <si>
    <t>443</t>
  </si>
  <si>
    <t>010.6.0238</t>
  </si>
  <si>
    <t>климатическая карта</t>
  </si>
  <si>
    <t>444</t>
  </si>
  <si>
    <t>010.6.0269</t>
  </si>
  <si>
    <t>климатическая карта России</t>
  </si>
  <si>
    <t>445</t>
  </si>
  <si>
    <t>010.6.0239</t>
  </si>
  <si>
    <t>климатические пояса и области мира</t>
  </si>
  <si>
    <t>446</t>
  </si>
  <si>
    <t>ключ 10х12     04.2004г.</t>
  </si>
  <si>
    <t>447</t>
  </si>
  <si>
    <t>ключ 12х13    04.2004г.</t>
  </si>
  <si>
    <t>448</t>
  </si>
  <si>
    <t>ключ 13х14   04.2004г.</t>
  </si>
  <si>
    <t>449</t>
  </si>
  <si>
    <t>ключ 13х17    04.2004г.</t>
  </si>
  <si>
    <t>450</t>
  </si>
  <si>
    <t>002.0.0645</t>
  </si>
  <si>
    <t>ключ 13х19</t>
  </si>
  <si>
    <t>451</t>
  </si>
  <si>
    <t>002.0.0261</t>
  </si>
  <si>
    <t>ключ трубный</t>
  </si>
  <si>
    <t>452</t>
  </si>
  <si>
    <t>002.0.0281</t>
  </si>
  <si>
    <t>коврик  д/занят. за конт. (Гранд 2006г.)</t>
  </si>
  <si>
    <t>453</t>
  </si>
  <si>
    <t>010.8.0006</t>
  </si>
  <si>
    <t>Коврик 0,7х0,4 2008г</t>
  </si>
  <si>
    <t>454</t>
  </si>
  <si>
    <t>002.0.0577</t>
  </si>
  <si>
    <t>коврик туриста</t>
  </si>
  <si>
    <t>455</t>
  </si>
  <si>
    <t>002.0.0475</t>
  </si>
  <si>
    <t>кодоскоп</t>
  </si>
  <si>
    <t>456</t>
  </si>
  <si>
    <t>010.6.0316</t>
  </si>
  <si>
    <t>Коллекция горных природных пород и минералов</t>
  </si>
  <si>
    <t>457</t>
  </si>
  <si>
    <t>010.6.0317</t>
  </si>
  <si>
    <t>Коллекция полезных ископаемых различных типов</t>
  </si>
  <si>
    <t>458</t>
  </si>
  <si>
    <t>002.0.0194</t>
  </si>
  <si>
    <t>колодка спортивная</t>
  </si>
  <si>
    <t>459</t>
  </si>
  <si>
    <t>002.0.0009</t>
  </si>
  <si>
    <t>колонка низкочаст. (10,2006)</t>
  </si>
  <si>
    <t>460</t>
  </si>
  <si>
    <t>002.0.0026</t>
  </si>
  <si>
    <t>колонки</t>
  </si>
  <si>
    <t>461</t>
  </si>
  <si>
    <t>002.0.0021</t>
  </si>
  <si>
    <t>кольца  б/б  (акт рев.)</t>
  </si>
  <si>
    <t>462</t>
  </si>
  <si>
    <t>002.0.0679</t>
  </si>
  <si>
    <t>кольцо б\б</t>
  </si>
  <si>
    <t>463</t>
  </si>
  <si>
    <t>010.6.1018</t>
  </si>
  <si>
    <t>Кольцо баскетбольное ( дек. 2010 )</t>
  </si>
  <si>
    <t>464</t>
  </si>
  <si>
    <t>002.0.0466</t>
  </si>
  <si>
    <t>ком. д/лаб. раб. по электродинам.</t>
  </si>
  <si>
    <t>465</t>
  </si>
  <si>
    <t>002.0.0447</t>
  </si>
  <si>
    <t>ком. таб. молекул. физика 10шт</t>
  </si>
  <si>
    <t>466</t>
  </si>
  <si>
    <t>002.0.0448</t>
  </si>
  <si>
    <t>ком. таб. термодинамика 10 шт</t>
  </si>
  <si>
    <t>467</t>
  </si>
  <si>
    <t>002.0.0444</t>
  </si>
  <si>
    <t>ком.таб.Кавнт.физ.10шт (Гранд 06г.)</t>
  </si>
  <si>
    <t>468</t>
  </si>
  <si>
    <t>002.0.0446</t>
  </si>
  <si>
    <t>ком.таб.механика-2  (Гранд 06)</t>
  </si>
  <si>
    <t>469</t>
  </si>
  <si>
    <t>002.0.0388</t>
  </si>
  <si>
    <t>коммутатор к осцилографу</t>
  </si>
  <si>
    <t>470</t>
  </si>
  <si>
    <t>002.0.0465</t>
  </si>
  <si>
    <t>комп.соедин. провод(Гранд 06г.)</t>
  </si>
  <si>
    <t>471</t>
  </si>
  <si>
    <t>002.0.0445</t>
  </si>
  <si>
    <t>комп.таб.механ.-1 (12шт) (Гранд 06г.)</t>
  </si>
  <si>
    <t>472</t>
  </si>
  <si>
    <t>010.6.1019</t>
  </si>
  <si>
    <t>Компас ( дек. 2010)</t>
  </si>
  <si>
    <t>473</t>
  </si>
  <si>
    <t>010.6.0437</t>
  </si>
  <si>
    <t>Компас с зеркалом</t>
  </si>
  <si>
    <t>474</t>
  </si>
  <si>
    <t>010.6.0308</t>
  </si>
  <si>
    <t>Компас ученический</t>
  </si>
  <si>
    <t>475</t>
  </si>
  <si>
    <t>002.0.0479</t>
  </si>
  <si>
    <t>компас-азимут ( Гранд 06г.)</t>
  </si>
  <si>
    <t>476</t>
  </si>
  <si>
    <t>002.0.0321</t>
  </si>
  <si>
    <t>компл. инстру.классн. (Гранд 2006г.)</t>
  </si>
  <si>
    <t>477</t>
  </si>
  <si>
    <t>010.6.0307</t>
  </si>
  <si>
    <t>Комплект видеофильмов для кабинета географии</t>
  </si>
  <si>
    <t>478</t>
  </si>
  <si>
    <t>002.0.0215</t>
  </si>
  <si>
    <t>комплект д/ наст тен. (11.20060</t>
  </si>
  <si>
    <t>479</t>
  </si>
  <si>
    <t>010.6.0306</t>
  </si>
  <si>
    <t>Комплект демонстрационных материалов по курсу географии</t>
  </si>
  <si>
    <t>480</t>
  </si>
  <si>
    <t>010.6.1020</t>
  </si>
  <si>
    <t>Комплект из 3-х кубиков без крышки ( дек. 2010)</t>
  </si>
  <si>
    <t>481</t>
  </si>
  <si>
    <t>010.6.0304</t>
  </si>
  <si>
    <t>Комплект интерактивных карт по географии</t>
  </si>
  <si>
    <t>482</t>
  </si>
  <si>
    <t>010.6.1021</t>
  </si>
  <si>
    <t>Комплект кубиков из пластика ( дек.2010 )</t>
  </si>
  <si>
    <t>483</t>
  </si>
  <si>
    <t>010.6.0305</t>
  </si>
  <si>
    <t>Комплект мультимидийных средств по курсу географии</t>
  </si>
  <si>
    <t>484</t>
  </si>
  <si>
    <t>010.6.0969</t>
  </si>
  <si>
    <t>Комплект плакатов "Единая государственная система предупреждения и ликвидации ЧС.ГО"(10 плакатов)</t>
  </si>
  <si>
    <t>485</t>
  </si>
  <si>
    <t>010.6.0970</t>
  </si>
  <si>
    <t>Комплект плакатов "Первая медицинская помощь в чрезвычайных ситуациях"(12 плакатов)</t>
  </si>
  <si>
    <t>486</t>
  </si>
  <si>
    <t>010.6.0971</t>
  </si>
  <si>
    <t>Комплект плакатов "Правила поведения в аварийных ситуациях на транспорте"(8 плакатов)</t>
  </si>
  <si>
    <t>487</t>
  </si>
  <si>
    <t>010.6.0972</t>
  </si>
  <si>
    <t>Комплект плакатов "Правила поведения в ЧС природного характера"(5 плакатов)</t>
  </si>
  <si>
    <t>488</t>
  </si>
  <si>
    <t>010.6.0973</t>
  </si>
  <si>
    <t>Комплект плакатов "Правила поведения в ЧС техногенного характера"(5 плакатов)</t>
  </si>
  <si>
    <t>489</t>
  </si>
  <si>
    <t>010.6.0974</t>
  </si>
  <si>
    <t>Комплект плакатов "Уголок безопасности школьника"(10 плакатов)</t>
  </si>
  <si>
    <t>490</t>
  </si>
  <si>
    <t>010.6.0234</t>
  </si>
  <si>
    <t>Комплект портретов географов и путешественников</t>
  </si>
  <si>
    <t>491</t>
  </si>
  <si>
    <t>002.0.0379</t>
  </si>
  <si>
    <t>комплект разновесов</t>
  </si>
  <si>
    <t>492</t>
  </si>
  <si>
    <t>010.6.0233</t>
  </si>
  <si>
    <t>Комплект таблиц по курсу географии</t>
  </si>
  <si>
    <t>493</t>
  </si>
  <si>
    <t>002.0.0435</t>
  </si>
  <si>
    <t>комплект учебн.-измерит. приборов</t>
  </si>
  <si>
    <t>494</t>
  </si>
  <si>
    <t>061720205</t>
  </si>
  <si>
    <t>Комплект штор  (5 шт) 2008г. ( бледно-розовый)</t>
  </si>
  <si>
    <t>495</t>
  </si>
  <si>
    <t>011.0.0037</t>
  </si>
  <si>
    <t>Комплект штор ( 6 шт) 2010 г.</t>
  </si>
  <si>
    <t>496</t>
  </si>
  <si>
    <t>011.0.0001</t>
  </si>
  <si>
    <t>Комплект штор (14 шт) 2010 г.</t>
  </si>
  <si>
    <t>497</t>
  </si>
  <si>
    <t>061720253</t>
  </si>
  <si>
    <t>Комплект штор (5) 2008г.</t>
  </si>
  <si>
    <t>498</t>
  </si>
  <si>
    <t>002.0.0292</t>
  </si>
  <si>
    <t xml:space="preserve">компьютерная стойка б/у </t>
  </si>
  <si>
    <t>499</t>
  </si>
  <si>
    <t>002.0.0150</t>
  </si>
  <si>
    <t>конденсатор</t>
  </si>
  <si>
    <t>500</t>
  </si>
  <si>
    <t>002.0.0383</t>
  </si>
  <si>
    <t>конденсатор перем.емкости</t>
  </si>
  <si>
    <t>501</t>
  </si>
  <si>
    <t>002.0.0144</t>
  </si>
  <si>
    <t>конденсатор разборный</t>
  </si>
  <si>
    <t>502</t>
  </si>
  <si>
    <t>063610001</t>
  </si>
  <si>
    <t>Конторка Базарного</t>
  </si>
  <si>
    <t>503</t>
  </si>
  <si>
    <t>063610002</t>
  </si>
  <si>
    <t>504</t>
  </si>
  <si>
    <t>063610003</t>
  </si>
  <si>
    <t>505</t>
  </si>
  <si>
    <t>010.6.1017</t>
  </si>
  <si>
    <t>Конус игровой (дек.2010)</t>
  </si>
  <si>
    <t>506</t>
  </si>
  <si>
    <t>010.6.0226</t>
  </si>
  <si>
    <t>Коньки "Rapal " хоккейные</t>
  </si>
  <si>
    <t>507</t>
  </si>
  <si>
    <t>063690172-06369173</t>
  </si>
  <si>
    <t xml:space="preserve">Коньки фигурные </t>
  </si>
  <si>
    <t>508</t>
  </si>
  <si>
    <t>063690174-063690176</t>
  </si>
  <si>
    <t>Коньки хоккейные "Laser"</t>
  </si>
  <si>
    <t>509</t>
  </si>
  <si>
    <t>002.0.0584</t>
  </si>
  <si>
    <t>корзина басткетбольная</t>
  </si>
  <si>
    <t>510</t>
  </si>
  <si>
    <t>корзина для мусора (03.06)</t>
  </si>
  <si>
    <t>511</t>
  </si>
  <si>
    <t>1.013.6.0060</t>
  </si>
  <si>
    <t>Коробка КСКФ-6</t>
  </si>
  <si>
    <t>512</t>
  </si>
  <si>
    <t>010.6.0342</t>
  </si>
  <si>
    <t>костюм Деда Мороза</t>
  </si>
  <si>
    <t>513</t>
  </si>
  <si>
    <t>010.6.0344</t>
  </si>
  <si>
    <t>костюм Снегурочки</t>
  </si>
  <si>
    <t>514</t>
  </si>
  <si>
    <t>063690016</t>
  </si>
  <si>
    <t>Краскопульт</t>
  </si>
  <si>
    <t>515</t>
  </si>
  <si>
    <t>106254-106344</t>
  </si>
  <si>
    <t>Кресло для актового зала</t>
  </si>
  <si>
    <t>516</t>
  </si>
  <si>
    <t>002.0.0699</t>
  </si>
  <si>
    <t>Кресло мягк.б\у</t>
  </si>
  <si>
    <t>517</t>
  </si>
  <si>
    <t>106160-106194</t>
  </si>
  <si>
    <t>Кресло посетителя</t>
  </si>
  <si>
    <t>518</t>
  </si>
  <si>
    <t>010.6.0355</t>
  </si>
  <si>
    <t xml:space="preserve">Кресло Престиж </t>
  </si>
  <si>
    <t>519</t>
  </si>
  <si>
    <t>кровать дет. (08.07г.) с 10д\с</t>
  </si>
  <si>
    <t>520</t>
  </si>
  <si>
    <t>010.6.0345</t>
  </si>
  <si>
    <t>ксилофон</t>
  </si>
  <si>
    <t>521</t>
  </si>
  <si>
    <t>002.0.0319</t>
  </si>
  <si>
    <t>к-т магнитный "Доли и дроби"</t>
  </si>
  <si>
    <t>522</t>
  </si>
  <si>
    <t>002.0.0451</t>
  </si>
  <si>
    <t>к-т таб.электром. кол.10шт</t>
  </si>
  <si>
    <t>523</t>
  </si>
  <si>
    <t>002.0.0449</t>
  </si>
  <si>
    <t>к-т физика атом. ядра 10шт</t>
  </si>
  <si>
    <t>524</t>
  </si>
  <si>
    <t>002.0.0450</t>
  </si>
  <si>
    <t>к-т Электродинамика 10шт</t>
  </si>
  <si>
    <t>525</t>
  </si>
  <si>
    <t>002.0.0452</t>
  </si>
  <si>
    <t>к-т Электростатис. 12 шт.</t>
  </si>
  <si>
    <t>526</t>
  </si>
  <si>
    <t>002.0.0585</t>
  </si>
  <si>
    <t>кубки спортивные</t>
  </si>
  <si>
    <t>527</t>
  </si>
  <si>
    <t>010.6.0484</t>
  </si>
  <si>
    <t>Лавочки (акт рев.)</t>
  </si>
  <si>
    <t>528</t>
  </si>
  <si>
    <t>061720406</t>
  </si>
  <si>
    <t>Ламбрикен</t>
  </si>
  <si>
    <t>529</t>
  </si>
  <si>
    <t>002.0.0440</t>
  </si>
  <si>
    <t>лампа КГМ-24-150</t>
  </si>
  <si>
    <t>530</t>
  </si>
  <si>
    <t xml:space="preserve">лампа паяльная </t>
  </si>
  <si>
    <t>531</t>
  </si>
  <si>
    <t>лампа цв."Philihs@ (03.06)</t>
  </si>
  <si>
    <t>532</t>
  </si>
  <si>
    <t>063690257</t>
  </si>
  <si>
    <t>Лестница гимнастическая (акт рев.)</t>
  </si>
  <si>
    <t>533</t>
  </si>
  <si>
    <t>010.6.0309</t>
  </si>
  <si>
    <t>Линейка визирная</t>
  </si>
  <si>
    <t>534</t>
  </si>
  <si>
    <t>002.0.0170</t>
  </si>
  <si>
    <t>линейка металлич.</t>
  </si>
  <si>
    <t>535</t>
  </si>
  <si>
    <t>002.0.0235</t>
  </si>
  <si>
    <t>лифт</t>
  </si>
  <si>
    <t>536</t>
  </si>
  <si>
    <t>002.0.0677</t>
  </si>
  <si>
    <t>ЛКО 1Х36 кососвет (2009г)</t>
  </si>
  <si>
    <t>537</t>
  </si>
  <si>
    <t>011.0.0042</t>
  </si>
  <si>
    <t>ЛКО 1х36 кососвет (дек. 2010)</t>
  </si>
  <si>
    <t>538</t>
  </si>
  <si>
    <t>010.6.0964</t>
  </si>
  <si>
    <t>Лобзик 570Вт,65/8мм,MJS-570-65-E ( кор№2)</t>
  </si>
  <si>
    <t>539</t>
  </si>
  <si>
    <t>011.0.0035</t>
  </si>
  <si>
    <t>Ложка Vetta</t>
  </si>
  <si>
    <t>540</t>
  </si>
  <si>
    <t>011.0.0010</t>
  </si>
  <si>
    <t>Лопата</t>
  </si>
  <si>
    <t>541</t>
  </si>
  <si>
    <t>1.013.8.0004</t>
  </si>
  <si>
    <t>Лоток для лабораторного набора по механике</t>
  </si>
  <si>
    <t>542</t>
  </si>
  <si>
    <t>011.0.0030</t>
  </si>
  <si>
    <t>Лоток почкообразный пластик.</t>
  </si>
  <si>
    <t>543</t>
  </si>
  <si>
    <t>002.0.0011</t>
  </si>
  <si>
    <t xml:space="preserve">лыжи </t>
  </si>
  <si>
    <t>544</t>
  </si>
  <si>
    <t>002.0.0195</t>
  </si>
  <si>
    <t>лыжи детские</t>
  </si>
  <si>
    <t>545</t>
  </si>
  <si>
    <t>002.0.0644</t>
  </si>
  <si>
    <t>лыжи детские (акт рев.)</t>
  </si>
  <si>
    <t>546</t>
  </si>
  <si>
    <t>002.0.0196</t>
  </si>
  <si>
    <t>лыжи пластиковые</t>
  </si>
  <si>
    <t>547</t>
  </si>
  <si>
    <t>1.013.8.0016</t>
  </si>
  <si>
    <t>Лыжные комплекты</t>
  </si>
  <si>
    <t>548</t>
  </si>
  <si>
    <t>011.0.0020</t>
  </si>
  <si>
    <t>Люстра 1782\3 (2009)</t>
  </si>
  <si>
    <t>549</t>
  </si>
  <si>
    <t>люстры (12.2006)</t>
  </si>
  <si>
    <t>550</t>
  </si>
  <si>
    <t>002.0.0318</t>
  </si>
  <si>
    <t xml:space="preserve">магнитная доска </t>
  </si>
  <si>
    <t>551</t>
  </si>
  <si>
    <t>002.0.0224</t>
  </si>
  <si>
    <t>магнитола " Каравелла" (1985)</t>
  </si>
  <si>
    <t>552</t>
  </si>
  <si>
    <t>104008</t>
  </si>
  <si>
    <t>Магнитола Samsung  S-30</t>
  </si>
  <si>
    <t>553</t>
  </si>
  <si>
    <t>002.0.0166</t>
  </si>
  <si>
    <t>манекен</t>
  </si>
  <si>
    <t>554</t>
  </si>
  <si>
    <t>002.0.0560</t>
  </si>
  <si>
    <t>маникен</t>
  </si>
  <si>
    <t>555</t>
  </si>
  <si>
    <t>манометр демонстрационный</t>
  </si>
  <si>
    <t>556</t>
  </si>
  <si>
    <t>1.083.0.0712</t>
  </si>
  <si>
    <t>Маршрутизатор 4-х портовый беспроводной</t>
  </si>
  <si>
    <t>557</t>
  </si>
  <si>
    <t>1.013.4.0050</t>
  </si>
  <si>
    <t>маршрутизатор D-Link DIR-300/NRU (февраль 2012)</t>
  </si>
  <si>
    <t>558</t>
  </si>
  <si>
    <t>1.013.8.0006</t>
  </si>
  <si>
    <t>маршрутизатор D-Link DIR-300/NRU Беспроводной 4-х портовый  4Х10/100 Вase-TX switch</t>
  </si>
  <si>
    <t>559</t>
  </si>
  <si>
    <t>106052-106055</t>
  </si>
  <si>
    <t>Мат</t>
  </si>
  <si>
    <t>560</t>
  </si>
  <si>
    <t>106232-106237</t>
  </si>
  <si>
    <t>Мат гимнастический (Гранд 2006)</t>
  </si>
  <si>
    <t>561</t>
  </si>
  <si>
    <t>106345</t>
  </si>
  <si>
    <t>Мат гимнастический покрытый теном 2х1</t>
  </si>
  <si>
    <t>562</t>
  </si>
  <si>
    <t>106346</t>
  </si>
  <si>
    <t>563</t>
  </si>
  <si>
    <t>106347</t>
  </si>
  <si>
    <t>564</t>
  </si>
  <si>
    <t>106348</t>
  </si>
  <si>
    <t>565</t>
  </si>
  <si>
    <t>106349</t>
  </si>
  <si>
    <t>566</t>
  </si>
  <si>
    <t>002.0.0182</t>
  </si>
  <si>
    <t>маты</t>
  </si>
  <si>
    <t>567</t>
  </si>
  <si>
    <t>002.0.0192</t>
  </si>
  <si>
    <t>маты гимнастические</t>
  </si>
  <si>
    <t>568</t>
  </si>
  <si>
    <t>002.0.0490</t>
  </si>
  <si>
    <t>машин. металлооб. России /Урал</t>
  </si>
  <si>
    <t>569</t>
  </si>
  <si>
    <t>002.0.0363</t>
  </si>
  <si>
    <t>машина "Атвуда"</t>
  </si>
  <si>
    <t>570</t>
  </si>
  <si>
    <t>002.0.0115</t>
  </si>
  <si>
    <t>машина 3-х фазного тока</t>
  </si>
  <si>
    <t>571</t>
  </si>
  <si>
    <t>002.0.0149</t>
  </si>
  <si>
    <t>машина волновая</t>
  </si>
  <si>
    <t>572</t>
  </si>
  <si>
    <t>002.0.0354</t>
  </si>
  <si>
    <t>573</t>
  </si>
  <si>
    <t>002.0.0352</t>
  </si>
  <si>
    <t>машина центробежная</t>
  </si>
  <si>
    <t>574</t>
  </si>
  <si>
    <t>002.0.0558</t>
  </si>
  <si>
    <t>машина швейная ножная</t>
  </si>
  <si>
    <t>575</t>
  </si>
  <si>
    <t>002.0.0559</t>
  </si>
  <si>
    <t>машина швейная ручная</t>
  </si>
  <si>
    <t>576</t>
  </si>
  <si>
    <t>002.0.0421</t>
  </si>
  <si>
    <t>машина эл. постоянного тока</t>
  </si>
  <si>
    <t>577</t>
  </si>
  <si>
    <t>002.0.0436</t>
  </si>
  <si>
    <t>машина электрофорная</t>
  </si>
  <si>
    <t>578</t>
  </si>
  <si>
    <t>002.0.0161</t>
  </si>
  <si>
    <t>машинка швейная</t>
  </si>
  <si>
    <t>579</t>
  </si>
  <si>
    <t>010.6.0279</t>
  </si>
  <si>
    <t>Машиностроительная и металлообрабатывающая промышленность России</t>
  </si>
  <si>
    <t>580</t>
  </si>
  <si>
    <t>002.0.0130</t>
  </si>
  <si>
    <t>маятник в часах</t>
  </si>
  <si>
    <t>581</t>
  </si>
  <si>
    <t>002.0.0206</t>
  </si>
  <si>
    <t>медицинбал 3 кг</t>
  </si>
  <si>
    <t>582</t>
  </si>
  <si>
    <t>002.0.0207</t>
  </si>
  <si>
    <t>медицинбол 1 кг</t>
  </si>
  <si>
    <t>583</t>
  </si>
  <si>
    <t>002.0.0128</t>
  </si>
  <si>
    <t>метроном</t>
  </si>
  <si>
    <t>584</t>
  </si>
  <si>
    <t>002.0.0407</t>
  </si>
  <si>
    <t>метроном бесконтактный</t>
  </si>
  <si>
    <t>585</t>
  </si>
  <si>
    <t>002.0.0404</t>
  </si>
  <si>
    <t>метроном механический</t>
  </si>
  <si>
    <t>586</t>
  </si>
  <si>
    <t>002.0.0107</t>
  </si>
  <si>
    <t>метроном электрический</t>
  </si>
  <si>
    <t>587</t>
  </si>
  <si>
    <t>010.6.1022</t>
  </si>
  <si>
    <t>Мешок для прыжков ( дек. 2010)</t>
  </si>
  <si>
    <t>588</t>
  </si>
  <si>
    <t>010.6.1023</t>
  </si>
  <si>
    <t>589</t>
  </si>
  <si>
    <t>002.0.0112</t>
  </si>
  <si>
    <t>мешок спальный</t>
  </si>
  <si>
    <t>590</t>
  </si>
  <si>
    <t>002.0.0565</t>
  </si>
  <si>
    <t>микрометр</t>
  </si>
  <si>
    <t>591</t>
  </si>
  <si>
    <t>1.013.6.0068</t>
  </si>
  <si>
    <t>Микроскоп Альтами "Школьный" вар.2</t>
  </si>
  <si>
    <t>592</t>
  </si>
  <si>
    <t>1.013.4.0036</t>
  </si>
  <si>
    <t>Микшерный пульт EUROSOUND COMPACT 502</t>
  </si>
  <si>
    <t>593</t>
  </si>
  <si>
    <t>002.0.0467</t>
  </si>
  <si>
    <t>миллиамперм. лабор. 2.5 (Гранд 06)</t>
  </si>
  <si>
    <t>594</t>
  </si>
  <si>
    <t>010.6.0237</t>
  </si>
  <si>
    <t>мировой океан</t>
  </si>
  <si>
    <t>595</t>
  </si>
  <si>
    <t>002.0.0478</t>
  </si>
  <si>
    <t>мод.строен.земн.склад. (Гранд 06г.)</t>
  </si>
  <si>
    <t>596</t>
  </si>
  <si>
    <t>002.0.0358</t>
  </si>
  <si>
    <t>модель "Ворота"</t>
  </si>
  <si>
    <t>597</t>
  </si>
  <si>
    <t>002.0.0122</t>
  </si>
  <si>
    <t>модель 4-х тактного двигателя</t>
  </si>
  <si>
    <t>598</t>
  </si>
  <si>
    <t>модель витка в магните</t>
  </si>
  <si>
    <t>599</t>
  </si>
  <si>
    <t>002.0.0370</t>
  </si>
  <si>
    <t>модель гидравлического пресса</t>
  </si>
  <si>
    <t>600</t>
  </si>
  <si>
    <t>002.0.0405</t>
  </si>
  <si>
    <t>модель двигателя вн. сгорания</t>
  </si>
  <si>
    <t>601</t>
  </si>
  <si>
    <t>002.0.0369</t>
  </si>
  <si>
    <t>модель действующего мотора</t>
  </si>
  <si>
    <t>602</t>
  </si>
  <si>
    <t>002.0.0415</t>
  </si>
  <si>
    <t>модель звукового генератора</t>
  </si>
  <si>
    <t>603</t>
  </si>
  <si>
    <t>002.0.0361</t>
  </si>
  <si>
    <t>модель конвейера</t>
  </si>
  <si>
    <t>604</t>
  </si>
  <si>
    <t>002.0.0403</t>
  </si>
  <si>
    <t>модель небесной сферы</t>
  </si>
  <si>
    <t>605</t>
  </si>
  <si>
    <t>002.0.0362</t>
  </si>
  <si>
    <t>модель паровой турбины</t>
  </si>
  <si>
    <t>606</t>
  </si>
  <si>
    <t>002.0.0417</t>
  </si>
  <si>
    <t>модель перископа</t>
  </si>
  <si>
    <t>607</t>
  </si>
  <si>
    <t>002.0.0357</t>
  </si>
  <si>
    <t>модель планетной системы</t>
  </si>
  <si>
    <t>608</t>
  </si>
  <si>
    <t>002.0.0359</t>
  </si>
  <si>
    <t>модель подьемного крана</t>
  </si>
  <si>
    <t>609</t>
  </si>
  <si>
    <t>063690362</t>
  </si>
  <si>
    <t>Модель структуры ДНК (разб.) (С)(Гранд 2008)</t>
  </si>
  <si>
    <t>610</t>
  </si>
  <si>
    <t>002.0.0123</t>
  </si>
  <si>
    <t>модель телеграфа</t>
  </si>
  <si>
    <t>611</t>
  </si>
  <si>
    <t>002.0.0355</t>
  </si>
  <si>
    <t>модель термопары</t>
  </si>
  <si>
    <t>612</t>
  </si>
  <si>
    <t>002.0.0360</t>
  </si>
  <si>
    <t>модель фонтана</t>
  </si>
  <si>
    <t>613</t>
  </si>
  <si>
    <t>011.0.0046</t>
  </si>
  <si>
    <t>Модем ADSL Zyxel P660HT2 (МЧС)</t>
  </si>
  <si>
    <t>614</t>
  </si>
  <si>
    <t>мойка стальная  (05.06)</t>
  </si>
  <si>
    <t>615</t>
  </si>
  <si>
    <t>011.0.0016</t>
  </si>
  <si>
    <t>Молоток (2009 г.)</t>
  </si>
  <si>
    <t>616</t>
  </si>
  <si>
    <t>011.0.0017</t>
  </si>
  <si>
    <t>молоток (2009)</t>
  </si>
  <si>
    <t>617</t>
  </si>
  <si>
    <t>молоток 11.2004г.</t>
  </si>
  <si>
    <t>618</t>
  </si>
  <si>
    <t>011.0.0045</t>
  </si>
  <si>
    <t>Мышь KREOLZ MS859U  ( дек. 2010)</t>
  </si>
  <si>
    <t>619</t>
  </si>
  <si>
    <t>002.0.0278</t>
  </si>
  <si>
    <t>мышь А4 Tech JP-620B  (Гранд 2006г.)</t>
  </si>
  <si>
    <t>620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</si>
</sst>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i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0" xfId="0" applyNumberFormat="1" applyAlignment="1">
      <alignment horizontal="center" vertical="center" wrapText="1"/>
    </xf>
    <xf numFmtId="0" fontId="3" fillId="2" borderId="0" xfId="0" applyNumberFormat="1" applyAlignment="1">
      <alignment horizontal="center" vertical="center" wrapText="1"/>
    </xf>
    <xf numFmtId="0" fontId="4" fillId="2" borderId="0" xfId="0" applyNumberFormat="1" applyAlignment="1">
      <alignment horizontal="center" vertical="center" wrapText="1"/>
    </xf>
    <xf numFmtId="0" fontId="4" fillId="2" borderId="1" xfId="0" applyNumberFormat="1" applyAlignment="1">
      <alignment horizontal="center" vertical="center" wrapText="1"/>
    </xf>
    <xf numFmtId="0" fontId="4" fillId="2" borderId="0" xfId="0" applyNumberFormat="1" applyAlignment="1">
      <alignment horizontal="right" vertical="center" wrapText="1"/>
    </xf>
    <xf numFmtId="0" fontId="4" fillId="2" borderId="2" xfId="0" applyNumberFormat="1" applyAlignment="1">
      <alignment horizontal="center" vertical="center" wrapText="1"/>
    </xf>
    <xf numFmtId="0" fontId="4" fillId="2" borderId="0" xfId="0" applyNumberFormat="1" applyAlignment="1">
      <alignment horizontal="left" vertical="center" wrapText="1"/>
    </xf>
    <xf numFmtId="0" fontId="5" fillId="2" borderId="3" xfId="0" applyNumberFormat="1" applyAlignment="1">
      <alignment horizontal="left" vertical="center" wrapText="1"/>
    </xf>
    <xf numFmtId="0" fontId="4" fillId="2" borderId="4" xfId="0" applyNumberFormat="1" applyAlignment="1">
      <alignment horizontal="center" vertical="center" wrapText="1"/>
    </xf>
    <xf numFmtId="0" fontId="6" fillId="2" borderId="0" xfId="0" applyNumberFormat="1" applyAlignment="1">
      <alignment horizontal="center" vertical="center" wrapText="1"/>
    </xf>
    <xf numFmtId="0" fontId="4" fillId="2" borderId="5" xfId="0" applyNumberFormat="1" applyAlignment="1">
      <alignment horizontal="center" vertical="center" wrapText="1"/>
    </xf>
    <xf numFmtId="0" fontId="7" fillId="2" borderId="6" xfId="0" applyNumberFormat="1" applyAlignment="1">
      <alignment horizontal="center" vertical="center" wrapText="1"/>
    </xf>
    <xf numFmtId="0" fontId="4" fillId="2" borderId="7" xfId="0" applyNumberFormat="1" applyAlignment="1">
      <alignment horizontal="center" vertical="center" wrapText="1"/>
    </xf>
    <xf numFmtId="0" fontId="4" fillId="2" borderId="8" xfId="0" applyNumberFormat="1" applyAlignment="1">
      <alignment horizontal="center" vertical="center" wrapText="1"/>
    </xf>
    <xf numFmtId="0" fontId="4" fillId="2" borderId="8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0" fontId="4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top" wrapText="1"/>
    </xf>
    <xf numFmtId="0" fontId="8" fillId="2" borderId="10" xfId="0" applyNumberFormat="1" applyAlignment="1">
      <alignment horizontal="center" vertical="top" wrapText="1"/>
    </xf>
    <xf numFmtId="0" fontId="8" fillId="2" borderId="11" xfId="0" applyNumberFormat="1" applyAlignment="1">
      <alignment horizontal="center" vertical="top" wrapText="1"/>
    </xf>
    <xf numFmtId="0" fontId="8" fillId="2" borderId="11" xfId="0" applyNumberFormat="1" applyAlignment="1">
      <alignment horizontal="center" vertical="top" wrapText="1"/>
    </xf>
    <xf numFmtId="0" fontId="8" fillId="2" borderId="12" xfId="0" applyNumberFormat="1" applyAlignment="1">
      <alignment horizontal="center" vertical="top" wrapText="1"/>
    </xf>
    <xf numFmtId="0" fontId="4" fillId="2" borderId="7" xfId="0" applyNumberFormat="1" applyAlignment="1">
      <alignment horizontal="center" vertical="top" wrapText="1"/>
    </xf>
    <xf numFmtId="0" fontId="4" fillId="2" borderId="7" xfId="0" applyNumberFormat="1" applyAlignment="1">
      <alignment horizontal="left" vertical="top" wrapText="1"/>
    </xf>
    <xf numFmtId="0" fontId="4" fillId="2" borderId="8" xfId="0" applyNumberFormat="1" applyAlignment="1">
      <alignment horizontal="left" vertical="top" wrapText="1"/>
    </xf>
    <xf numFmtId="0" fontId="4" fillId="2" borderId="7" xfId="0" applyNumberFormat="1" applyAlignment="1">
      <alignment horizontal="center" vertical="top" wrapText="1"/>
    </xf>
    <xf numFmtId="4" fontId="4" fillId="2" borderId="8" xfId="0" applyNumberFormat="1" applyAlignment="1">
      <alignment horizontal="right" vertical="top" wrapText="1"/>
    </xf>
    <xf numFmtId="0" fontId="4" fillId="2" borderId="8" xfId="0" applyNumberFormat="1" applyAlignment="1">
      <alignment horizontal="right" vertical="top" wrapText="1"/>
    </xf>
    <xf numFmtId="0" fontId="4" fillId="2" borderId="8" xfId="0" applyNumberFormat="1" applyAlignment="1">
      <alignment horizontal="center" vertical="top" wrapText="1"/>
    </xf>
    <xf numFmtId="4" fontId="4" fillId="2" borderId="9" xfId="0" applyNumberFormat="1" applyAlignment="1">
      <alignment horizontal="right" vertical="top" wrapText="1"/>
    </xf>
    <xf numFmtId="0" fontId="7" fillId="2" borderId="13" xfId="0" applyNumberFormat="1" applyAlignment="1">
      <alignment horizontal="right" vertical="top" wrapText="1"/>
    </xf>
    <xf numFmtId="0" fontId="7" fillId="2" borderId="13" xfId="0" applyNumberFormat="1" applyAlignment="1">
      <alignment horizontal="center" vertical="top" wrapText="1"/>
    </xf>
    <xf numFmtId="4" fontId="7" fillId="2" borderId="14" xfId="0" applyNumberFormat="1" applyAlignment="1">
      <alignment horizontal="right" vertical="top" wrapText="1"/>
    </xf>
    <xf numFmtId="0" fontId="7" fillId="2" borderId="14" xfId="0" applyNumberFormat="1" applyAlignment="1">
      <alignment horizontal="right" vertical="top" wrapText="1"/>
    </xf>
    <xf numFmtId="0" fontId="7" fillId="2" borderId="14" xfId="0" applyNumberFormat="1" applyAlignment="1">
      <alignment horizontal="center" vertical="top" wrapText="1"/>
    </xf>
    <xf numFmtId="4" fontId="7" fillId="2" borderId="15" xfId="0" applyNumberFormat="1" applyAlignment="1">
      <alignment horizontal="right" vertical="top" wrapText="1"/>
    </xf>
    <xf numFmtId="0" fontId="9" fillId="2" borderId="0" xfId="0" applyNumberFormat="1" applyAlignment="1">
      <alignment horizontal="left" wrapText="1"/>
    </xf>
    <xf numFmtId="0" fontId="9" fillId="2" borderId="0" xfId="0" applyNumberFormat="1" applyAlignment="1">
      <alignment horizontal="center" wrapText="1"/>
    </xf>
    <xf numFmtId="0" fontId="9" fillId="2" borderId="0" xfId="0" applyNumberFormat="1" applyAlignment="1">
      <alignment horizontal="left" vertical="top" wrapText="1"/>
    </xf>
    <xf numFmtId="0" fontId="10" fillId="2" borderId="0" xfId="0" applyNumberFormat="1" applyAlignment="1">
      <alignment horizontal="center" vertical="top" wrapText="1"/>
    </xf>
    <xf numFmtId="0" fontId="11" fillId="2" borderId="16" xfId="0" applyNumberFormat="1" applyAlignment="1">
      <alignment horizontal="center" vertical="top" wrapText="1"/>
    </xf>
    <xf numFmtId="0" fontId="10" fillId="2" borderId="0" xfId="0" applyNumberFormat="1" applyAlignment="1">
      <alignment horizontal="center" vertical="top" wrapText="1"/>
    </xf>
    <xf numFmtId="0" fontId="9" fillId="2" borderId="0" xfId="0" applyNumberFormat="1" applyAlignment="1">
      <alignment horizontal="left" vertical="top" wrapText="1"/>
    </xf>
    <xf numFmtId="0" fontId="12" fillId="2" borderId="0" xfId="0" applyNumberForma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63"/>
  <sheetViews>
    <sheetView tabSelected="1" workbookViewId="0" topLeftCell="A1">
      <selection activeCell="A1" sqref="A1:AG1"/>
    </sheetView>
  </sheetViews>
  <sheetFormatPr defaultColWidth="9.140625" defaultRowHeight="12.75"/>
  <cols>
    <col min="1" max="1" width="4.7109375" style="1" customWidth="1"/>
    <col min="2" max="2" width="8.7109375" style="1" customWidth="1"/>
    <col min="3" max="3" width="2.7109375" style="1" customWidth="1"/>
    <col min="4" max="5" width="1.7109375" style="1" customWidth="1"/>
    <col min="6" max="6" width="2.7109375" style="1" customWidth="1"/>
    <col min="7" max="7" width="7.7109375" style="1" customWidth="1"/>
    <col min="8" max="8" width="11.7109375" style="1" customWidth="1"/>
    <col min="9" max="9" width="2.7109375" style="1" customWidth="1"/>
    <col min="10" max="10" width="1.7109375" style="1" customWidth="1"/>
    <col min="11" max="11" width="3.7109375" style="1" customWidth="1"/>
    <col min="12" max="12" width="1.7109375" style="1" customWidth="1"/>
    <col min="13" max="13" width="0.13671875" style="1" customWidth="1"/>
    <col min="14" max="14" width="1.7109375" style="1" customWidth="1"/>
    <col min="15" max="15" width="7.7109375" style="1" customWidth="1"/>
    <col min="16" max="16" width="1.7109375" style="1" customWidth="1"/>
    <col min="17" max="17" width="2.7109375" style="1" customWidth="1"/>
    <col min="18" max="19" width="4.7109375" style="1" customWidth="1"/>
    <col min="20" max="20" width="3.7109375" style="1" customWidth="1"/>
    <col min="21" max="21" width="2.7109375" style="1" customWidth="1"/>
    <col min="22" max="22" width="0.13671875" style="1" customWidth="1"/>
    <col min="23" max="23" width="6.7109375" style="1" customWidth="1"/>
    <col min="24" max="25" width="2.7109375" style="1" customWidth="1"/>
    <col min="26" max="27" width="3.7109375" style="1" customWidth="1"/>
    <col min="28" max="28" width="4.7109375" style="1" customWidth="1"/>
    <col min="29" max="29" width="0.13671875" style="1" customWidth="1"/>
    <col min="30" max="30" width="1.7109375" style="1" customWidth="1"/>
    <col min="31" max="31" width="2.7109375" style="1" customWidth="1"/>
    <col min="32" max="32" width="7.7109375" style="1" customWidth="1"/>
    <col min="33" max="33" width="0.13671875" style="1" customWidth="1"/>
  </cols>
  <sheetData>
    <row r="1" spans="1:33" s="1" customFormat="1" ht="21.75" customHeight="1">
      <c r="A1" s="2" t="s">
        <v>2027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1" customFormat="1" ht="21.75" customHeight="1">
      <c r="A2" s="2" t="s">
        <v>2028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1" customFormat="1" ht="21.75" customHeight="1">
      <c r="A3" s="2" t="s">
        <v>2029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1" customFormat="1" ht="21.75" customHeight="1">
      <c r="A4" s="2" t="s">
        <v>2030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 t="s">
        <v>2031</v>
      </c>
    </row>
    <row r="5" spans="1:33" s="1" customFormat="1" ht="21.75" customHeight="1">
      <c r="A5" s="4" t="s">
        <v>2032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 t="s">
        <v>2033</v>
      </c>
      <c r="AE5" s="5"/>
      <c r="AF5" s="5"/>
      <c r="AG5" s="5"/>
    </row>
    <row r="6" spans="1:33" s="1" customFormat="1" ht="19.5" customHeight="1">
      <c r="A6" s="6" t="s">
        <v>2032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 t="s">
        <v>2034</v>
      </c>
      <c r="AB6" s="6"/>
      <c r="AC6" s="7" t="s">
        <v>2032</v>
      </c>
      <c r="AD6" s="7"/>
      <c r="AE6" s="7"/>
      <c r="AF6" s="7"/>
      <c r="AG6" s="7"/>
    </row>
    <row r="7" spans="1:33" s="1" customFormat="1" ht="21" customHeight="1">
      <c r="A7" s="8" t="s">
        <v>2035</v>
      </c>
      <c r="B7" s="8"/>
      <c r="C7" s="8"/>
      <c r="D7" s="8"/>
      <c r="E7" s="8"/>
      <c r="F7" s="8"/>
      <c r="G7" s="8"/>
      <c r="H7" s="8"/>
      <c r="I7" s="9" t="s">
        <v>2032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6" t="s">
        <v>2036</v>
      </c>
      <c r="AB7" s="6"/>
      <c r="AC7" s="10" t="s">
        <v>2032</v>
      </c>
      <c r="AD7" s="10"/>
      <c r="AE7" s="10"/>
      <c r="AF7" s="10"/>
      <c r="AG7" s="10"/>
    </row>
    <row r="8" spans="1:33" s="1" customFormat="1" ht="21" customHeight="1">
      <c r="A8" s="8" t="s">
        <v>2037</v>
      </c>
      <c r="B8" s="8"/>
      <c r="C8" s="8"/>
      <c r="D8" s="8"/>
      <c r="E8" s="8"/>
      <c r="F8" s="8"/>
      <c r="G8" s="8"/>
      <c r="H8" s="9" t="s">
        <v>2038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6" t="s">
        <v>2039</v>
      </c>
      <c r="AB8" s="6"/>
      <c r="AC8" s="10" t="s">
        <v>2040</v>
      </c>
      <c r="AD8" s="10"/>
      <c r="AE8" s="10"/>
      <c r="AF8" s="10"/>
      <c r="AG8" s="10"/>
    </row>
    <row r="9" spans="1:33" s="1" customFormat="1" ht="19.5" customHeight="1">
      <c r="A9" s="8" t="s">
        <v>2041</v>
      </c>
      <c r="B9" s="8"/>
      <c r="C9" s="8"/>
      <c r="D9" s="8"/>
      <c r="E9" s="8"/>
      <c r="F9" s="8"/>
      <c r="G9" s="8"/>
      <c r="H9" s="11" t="s">
        <v>2032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" t="s">
        <v>2042</v>
      </c>
      <c r="AB9" s="6"/>
      <c r="AC9" s="12" t="s">
        <v>2043</v>
      </c>
      <c r="AD9" s="12"/>
      <c r="AE9" s="12"/>
      <c r="AF9" s="12"/>
      <c r="AG9" s="12"/>
    </row>
    <row r="10" spans="1:33" s="1" customFormat="1" ht="19.5" customHeight="1">
      <c r="A10" s="8" t="s">
        <v>2044</v>
      </c>
      <c r="B10" s="8"/>
      <c r="C10" s="8" t="s">
        <v>2032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1" customFormat="1" ht="12.75" customHeight="1">
      <c r="A11" s="4" t="s">
        <v>2032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1" customFormat="1" ht="18" customHeight="1">
      <c r="A12" s="13" t="s">
        <v>2045</v>
      </c>
      <c r="B12" s="13" t="s">
        <v>2046</v>
      </c>
      <c r="C12" s="13"/>
      <c r="D12" s="13"/>
      <c r="E12" s="13"/>
      <c r="F12" s="13"/>
      <c r="G12" s="13"/>
      <c r="H12" s="13"/>
      <c r="I12" s="13"/>
      <c r="J12" s="13" t="s">
        <v>2049</v>
      </c>
      <c r="K12" s="13"/>
      <c r="L12" s="13"/>
      <c r="M12" s="13"/>
      <c r="N12" s="13"/>
      <c r="O12" s="13"/>
      <c r="P12" s="13"/>
      <c r="Q12" s="13" t="s">
        <v>2052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7" t="s">
        <v>2055</v>
      </c>
      <c r="AC12" s="17"/>
      <c r="AD12" s="17"/>
      <c r="AE12" s="17"/>
      <c r="AF12" s="17"/>
      <c r="AG12" s="17"/>
    </row>
    <row r="13" spans="1:33" s="1" customFormat="1" ht="18.75" customHeight="1">
      <c r="A13" s="13"/>
      <c r="B13" s="14" t="s">
        <v>2047</v>
      </c>
      <c r="C13" s="14"/>
      <c r="D13" s="14"/>
      <c r="E13" s="15" t="s">
        <v>2048</v>
      </c>
      <c r="F13" s="15"/>
      <c r="G13" s="15"/>
      <c r="H13" s="15"/>
      <c r="I13" s="15"/>
      <c r="J13" s="14" t="s">
        <v>2050</v>
      </c>
      <c r="K13" s="14"/>
      <c r="L13" s="14"/>
      <c r="M13" s="14"/>
      <c r="N13" s="15" t="s">
        <v>2051</v>
      </c>
      <c r="O13" s="15"/>
      <c r="P13" s="15"/>
      <c r="Q13" s="14" t="s">
        <v>2053</v>
      </c>
      <c r="R13" s="14"/>
      <c r="S13" s="14"/>
      <c r="T13" s="14"/>
      <c r="U13" s="14"/>
      <c r="V13" s="14"/>
      <c r="W13" s="15" t="s">
        <v>2054</v>
      </c>
      <c r="X13" s="15"/>
      <c r="Y13" s="15"/>
      <c r="Z13" s="15"/>
      <c r="AA13" s="15"/>
      <c r="AB13" s="14" t="s">
        <v>2050</v>
      </c>
      <c r="AC13" s="14"/>
      <c r="AD13" s="14"/>
      <c r="AE13" s="18" t="s">
        <v>2051</v>
      </c>
      <c r="AF13" s="18"/>
      <c r="AG13" s="18"/>
    </row>
    <row r="14" spans="1:33" s="1" customFormat="1" ht="21" customHeight="1">
      <c r="A14" s="13"/>
      <c r="B14" s="14"/>
      <c r="C14" s="14"/>
      <c r="D14" s="14"/>
      <c r="E14" s="15"/>
      <c r="F14" s="15"/>
      <c r="G14" s="15"/>
      <c r="H14" s="15"/>
      <c r="I14" s="15"/>
      <c r="J14" s="14"/>
      <c r="K14" s="14"/>
      <c r="L14" s="14"/>
      <c r="M14" s="14"/>
      <c r="N14" s="15"/>
      <c r="O14" s="15"/>
      <c r="P14" s="15"/>
      <c r="Q14" s="14" t="s">
        <v>2050</v>
      </c>
      <c r="R14" s="14"/>
      <c r="S14" s="15" t="s">
        <v>2051</v>
      </c>
      <c r="T14" s="15"/>
      <c r="U14" s="15"/>
      <c r="V14" s="15"/>
      <c r="W14" s="16" t="s">
        <v>2050</v>
      </c>
      <c r="X14" s="15" t="s">
        <v>2051</v>
      </c>
      <c r="Y14" s="15"/>
      <c r="Z14" s="15"/>
      <c r="AA14" s="15"/>
      <c r="AB14" s="14"/>
      <c r="AC14" s="14"/>
      <c r="AD14" s="14"/>
      <c r="AE14" s="18"/>
      <c r="AF14" s="18"/>
      <c r="AG14" s="18"/>
    </row>
    <row r="15" spans="1:33" s="1" customFormat="1" ht="18.75" customHeight="1">
      <c r="A15" s="19" t="s">
        <v>2056</v>
      </c>
      <c r="B15" s="20" t="s">
        <v>2057</v>
      </c>
      <c r="C15" s="20"/>
      <c r="D15" s="20"/>
      <c r="E15" s="21" t="s">
        <v>2058</v>
      </c>
      <c r="F15" s="21"/>
      <c r="G15" s="21"/>
      <c r="H15" s="21"/>
      <c r="I15" s="21"/>
      <c r="J15" s="20" t="s">
        <v>2059</v>
      </c>
      <c r="K15" s="20"/>
      <c r="L15" s="20"/>
      <c r="M15" s="20"/>
      <c r="N15" s="21" t="s">
        <v>2060</v>
      </c>
      <c r="O15" s="21"/>
      <c r="P15" s="21"/>
      <c r="Q15" s="20" t="s">
        <v>2061</v>
      </c>
      <c r="R15" s="20"/>
      <c r="S15" s="21" t="s">
        <v>2062</v>
      </c>
      <c r="T15" s="21"/>
      <c r="U15" s="21"/>
      <c r="V15" s="21"/>
      <c r="W15" s="22" t="s">
        <v>2063</v>
      </c>
      <c r="X15" s="21" t="s">
        <v>2064</v>
      </c>
      <c r="Y15" s="21"/>
      <c r="Z15" s="21"/>
      <c r="AA15" s="21"/>
      <c r="AB15" s="20" t="s">
        <v>2065</v>
      </c>
      <c r="AC15" s="20"/>
      <c r="AD15" s="20"/>
      <c r="AE15" s="23" t="s">
        <v>2066</v>
      </c>
      <c r="AF15" s="23"/>
      <c r="AG15" s="23"/>
    </row>
    <row r="16" spans="1:33" s="1" customFormat="1" ht="46.5" customHeight="1">
      <c r="A16" s="24" t="s">
        <v>2056</v>
      </c>
      <c r="B16" s="25" t="s">
        <v>2067</v>
      </c>
      <c r="C16" s="25"/>
      <c r="D16" s="25"/>
      <c r="E16" s="26" t="s">
        <v>2068</v>
      </c>
      <c r="F16" s="26"/>
      <c r="G16" s="26"/>
      <c r="H16" s="26"/>
      <c r="I16" s="26"/>
      <c r="J16" s="27" t="s">
        <v>2056</v>
      </c>
      <c r="K16" s="27"/>
      <c r="L16" s="27"/>
      <c r="M16" s="27"/>
      <c r="N16" s="28">
        <f>170</f>
        <v>170</v>
      </c>
      <c r="O16" s="28"/>
      <c r="P16" s="28"/>
      <c r="Q16" s="27" t="s">
        <v>2032</v>
      </c>
      <c r="R16" s="27"/>
      <c r="S16" s="29" t="s">
        <v>2032</v>
      </c>
      <c r="T16" s="29"/>
      <c r="U16" s="29"/>
      <c r="V16" s="29"/>
      <c r="W16" s="30" t="s">
        <v>2032</v>
      </c>
      <c r="X16" s="29" t="s">
        <v>2032</v>
      </c>
      <c r="Y16" s="29"/>
      <c r="Z16" s="29"/>
      <c r="AA16" s="29"/>
      <c r="AB16" s="27" t="s">
        <v>2056</v>
      </c>
      <c r="AC16" s="27"/>
      <c r="AD16" s="27"/>
      <c r="AE16" s="31">
        <f>170</f>
        <v>170</v>
      </c>
      <c r="AF16" s="31"/>
      <c r="AG16" s="31"/>
    </row>
    <row r="17" spans="1:33" s="1" customFormat="1" ht="46.5" customHeight="1">
      <c r="A17" s="24" t="s">
        <v>2057</v>
      </c>
      <c r="B17" s="25" t="s">
        <v>2069</v>
      </c>
      <c r="C17" s="25"/>
      <c r="D17" s="25"/>
      <c r="E17" s="26" t="s">
        <v>2070</v>
      </c>
      <c r="F17" s="26"/>
      <c r="G17" s="26"/>
      <c r="H17" s="26"/>
      <c r="I17" s="26"/>
      <c r="J17" s="27" t="s">
        <v>2056</v>
      </c>
      <c r="K17" s="27"/>
      <c r="L17" s="27"/>
      <c r="M17" s="27"/>
      <c r="N17" s="28">
        <f>1680</f>
        <v>1680</v>
      </c>
      <c r="O17" s="28"/>
      <c r="P17" s="28"/>
      <c r="Q17" s="27" t="s">
        <v>2032</v>
      </c>
      <c r="R17" s="27"/>
      <c r="S17" s="29" t="s">
        <v>2032</v>
      </c>
      <c r="T17" s="29"/>
      <c r="U17" s="29"/>
      <c r="V17" s="29"/>
      <c r="W17" s="30" t="s">
        <v>2032</v>
      </c>
      <c r="X17" s="29" t="s">
        <v>2032</v>
      </c>
      <c r="Y17" s="29"/>
      <c r="Z17" s="29"/>
      <c r="AA17" s="29"/>
      <c r="AB17" s="27" t="s">
        <v>2056</v>
      </c>
      <c r="AC17" s="27"/>
      <c r="AD17" s="27"/>
      <c r="AE17" s="31">
        <f>1680</f>
        <v>1680</v>
      </c>
      <c r="AF17" s="31"/>
      <c r="AG17" s="31"/>
    </row>
    <row r="18" spans="1:33" s="1" customFormat="1" ht="33" customHeight="1">
      <c r="A18" s="24" t="s">
        <v>2058</v>
      </c>
      <c r="B18" s="25" t="s">
        <v>2071</v>
      </c>
      <c r="C18" s="25"/>
      <c r="D18" s="25"/>
      <c r="E18" s="26" t="s">
        <v>2072</v>
      </c>
      <c r="F18" s="26"/>
      <c r="G18" s="26"/>
      <c r="H18" s="26"/>
      <c r="I18" s="26"/>
      <c r="J18" s="27" t="s">
        <v>2056</v>
      </c>
      <c r="K18" s="27"/>
      <c r="L18" s="27"/>
      <c r="M18" s="27"/>
      <c r="N18" s="28">
        <f>1560</f>
        <v>1560</v>
      </c>
      <c r="O18" s="28"/>
      <c r="P18" s="28"/>
      <c r="Q18" s="27" t="s">
        <v>2032</v>
      </c>
      <c r="R18" s="27"/>
      <c r="S18" s="29" t="s">
        <v>2032</v>
      </c>
      <c r="T18" s="29"/>
      <c r="U18" s="29"/>
      <c r="V18" s="29"/>
      <c r="W18" s="30" t="s">
        <v>2032</v>
      </c>
      <c r="X18" s="29" t="s">
        <v>2032</v>
      </c>
      <c r="Y18" s="29"/>
      <c r="Z18" s="29"/>
      <c r="AA18" s="29"/>
      <c r="AB18" s="27" t="s">
        <v>2056</v>
      </c>
      <c r="AC18" s="27"/>
      <c r="AD18" s="27"/>
      <c r="AE18" s="31">
        <f>1560</f>
        <v>1560</v>
      </c>
      <c r="AF18" s="31"/>
      <c r="AG18" s="31"/>
    </row>
    <row r="19" spans="1:33" s="1" customFormat="1" ht="33" customHeight="1">
      <c r="A19" s="24" t="s">
        <v>2059</v>
      </c>
      <c r="B19" s="25" t="s">
        <v>2073</v>
      </c>
      <c r="C19" s="25"/>
      <c r="D19" s="25"/>
      <c r="E19" s="26" t="s">
        <v>2074</v>
      </c>
      <c r="F19" s="26"/>
      <c r="G19" s="26"/>
      <c r="H19" s="26"/>
      <c r="I19" s="26"/>
      <c r="J19" s="27" t="s">
        <v>2056</v>
      </c>
      <c r="K19" s="27"/>
      <c r="L19" s="27"/>
      <c r="M19" s="27"/>
      <c r="N19" s="28">
        <f>170</f>
        <v>170</v>
      </c>
      <c r="O19" s="28"/>
      <c r="P19" s="28"/>
      <c r="Q19" s="27" t="s">
        <v>2032</v>
      </c>
      <c r="R19" s="27"/>
      <c r="S19" s="29" t="s">
        <v>2032</v>
      </c>
      <c r="T19" s="29"/>
      <c r="U19" s="29"/>
      <c r="V19" s="29"/>
      <c r="W19" s="30" t="s">
        <v>2032</v>
      </c>
      <c r="X19" s="29" t="s">
        <v>2032</v>
      </c>
      <c r="Y19" s="29"/>
      <c r="Z19" s="29"/>
      <c r="AA19" s="29"/>
      <c r="AB19" s="27" t="s">
        <v>2056</v>
      </c>
      <c r="AC19" s="27"/>
      <c r="AD19" s="27"/>
      <c r="AE19" s="31">
        <f>170</f>
        <v>170</v>
      </c>
      <c r="AF19" s="31"/>
      <c r="AG19" s="31"/>
    </row>
    <row r="20" spans="1:33" s="1" customFormat="1" ht="46.5" customHeight="1">
      <c r="A20" s="24" t="s">
        <v>2060</v>
      </c>
      <c r="B20" s="25" t="s">
        <v>2075</v>
      </c>
      <c r="C20" s="25"/>
      <c r="D20" s="25"/>
      <c r="E20" s="26" t="s">
        <v>2076</v>
      </c>
      <c r="F20" s="26"/>
      <c r="G20" s="26"/>
      <c r="H20" s="26"/>
      <c r="I20" s="26"/>
      <c r="J20" s="27" t="s">
        <v>2056</v>
      </c>
      <c r="K20" s="27"/>
      <c r="L20" s="27"/>
      <c r="M20" s="27"/>
      <c r="N20" s="28">
        <f aca="true" t="shared" si="0" ref="N20:N25">1836</f>
        <v>1836</v>
      </c>
      <c r="O20" s="28"/>
      <c r="P20" s="28"/>
      <c r="Q20" s="27" t="s">
        <v>2032</v>
      </c>
      <c r="R20" s="27"/>
      <c r="S20" s="29" t="s">
        <v>2032</v>
      </c>
      <c r="T20" s="29"/>
      <c r="U20" s="29"/>
      <c r="V20" s="29"/>
      <c r="W20" s="30" t="s">
        <v>2032</v>
      </c>
      <c r="X20" s="29" t="s">
        <v>2032</v>
      </c>
      <c r="Y20" s="29"/>
      <c r="Z20" s="29"/>
      <c r="AA20" s="29"/>
      <c r="AB20" s="27" t="s">
        <v>2056</v>
      </c>
      <c r="AC20" s="27"/>
      <c r="AD20" s="27"/>
      <c r="AE20" s="31">
        <f aca="true" t="shared" si="1" ref="AE20:AE25">1836</f>
        <v>1836</v>
      </c>
      <c r="AF20" s="31"/>
      <c r="AG20" s="31"/>
    </row>
    <row r="21" spans="1:33" s="1" customFormat="1" ht="46.5" customHeight="1">
      <c r="A21" s="24" t="s">
        <v>2061</v>
      </c>
      <c r="B21" s="25" t="s">
        <v>2077</v>
      </c>
      <c r="C21" s="25"/>
      <c r="D21" s="25"/>
      <c r="E21" s="26" t="s">
        <v>2078</v>
      </c>
      <c r="F21" s="26"/>
      <c r="G21" s="26"/>
      <c r="H21" s="26"/>
      <c r="I21" s="26"/>
      <c r="J21" s="27" t="s">
        <v>2056</v>
      </c>
      <c r="K21" s="27"/>
      <c r="L21" s="27"/>
      <c r="M21" s="27"/>
      <c r="N21" s="28">
        <f t="shared" si="0"/>
        <v>1836</v>
      </c>
      <c r="O21" s="28"/>
      <c r="P21" s="28"/>
      <c r="Q21" s="27" t="s">
        <v>2032</v>
      </c>
      <c r="R21" s="27"/>
      <c r="S21" s="29" t="s">
        <v>2032</v>
      </c>
      <c r="T21" s="29"/>
      <c r="U21" s="29"/>
      <c r="V21" s="29"/>
      <c r="W21" s="30" t="s">
        <v>2032</v>
      </c>
      <c r="X21" s="29" t="s">
        <v>2032</v>
      </c>
      <c r="Y21" s="29"/>
      <c r="Z21" s="29"/>
      <c r="AA21" s="29"/>
      <c r="AB21" s="27" t="s">
        <v>2056</v>
      </c>
      <c r="AC21" s="27"/>
      <c r="AD21" s="27"/>
      <c r="AE21" s="31">
        <f t="shared" si="1"/>
        <v>1836</v>
      </c>
      <c r="AF21" s="31"/>
      <c r="AG21" s="31"/>
    </row>
    <row r="22" spans="1:33" s="1" customFormat="1" ht="46.5" customHeight="1">
      <c r="A22" s="24" t="s">
        <v>2062</v>
      </c>
      <c r="B22" s="25" t="s">
        <v>2079</v>
      </c>
      <c r="C22" s="25"/>
      <c r="D22" s="25"/>
      <c r="E22" s="26" t="s">
        <v>2078</v>
      </c>
      <c r="F22" s="26"/>
      <c r="G22" s="26"/>
      <c r="H22" s="26"/>
      <c r="I22" s="26"/>
      <c r="J22" s="27" t="s">
        <v>2056</v>
      </c>
      <c r="K22" s="27"/>
      <c r="L22" s="27"/>
      <c r="M22" s="27"/>
      <c r="N22" s="28">
        <f t="shared" si="0"/>
        <v>1836</v>
      </c>
      <c r="O22" s="28"/>
      <c r="P22" s="28"/>
      <c r="Q22" s="27" t="s">
        <v>2032</v>
      </c>
      <c r="R22" s="27"/>
      <c r="S22" s="29" t="s">
        <v>2032</v>
      </c>
      <c r="T22" s="29"/>
      <c r="U22" s="29"/>
      <c r="V22" s="29"/>
      <c r="W22" s="30" t="s">
        <v>2032</v>
      </c>
      <c r="X22" s="29" t="s">
        <v>2032</v>
      </c>
      <c r="Y22" s="29"/>
      <c r="Z22" s="29"/>
      <c r="AA22" s="29"/>
      <c r="AB22" s="27" t="s">
        <v>2056</v>
      </c>
      <c r="AC22" s="27"/>
      <c r="AD22" s="27"/>
      <c r="AE22" s="31">
        <f t="shared" si="1"/>
        <v>1836</v>
      </c>
      <c r="AF22" s="31"/>
      <c r="AG22" s="31"/>
    </row>
    <row r="23" spans="1:33" s="1" customFormat="1" ht="46.5" customHeight="1">
      <c r="A23" s="24" t="s">
        <v>2063</v>
      </c>
      <c r="B23" s="25" t="s">
        <v>2080</v>
      </c>
      <c r="C23" s="25"/>
      <c r="D23" s="25"/>
      <c r="E23" s="26" t="s">
        <v>2078</v>
      </c>
      <c r="F23" s="26"/>
      <c r="G23" s="26"/>
      <c r="H23" s="26"/>
      <c r="I23" s="26"/>
      <c r="J23" s="27" t="s">
        <v>2056</v>
      </c>
      <c r="K23" s="27"/>
      <c r="L23" s="27"/>
      <c r="M23" s="27"/>
      <c r="N23" s="28">
        <f t="shared" si="0"/>
        <v>1836</v>
      </c>
      <c r="O23" s="28"/>
      <c r="P23" s="28"/>
      <c r="Q23" s="27" t="s">
        <v>2032</v>
      </c>
      <c r="R23" s="27"/>
      <c r="S23" s="29" t="s">
        <v>2032</v>
      </c>
      <c r="T23" s="29"/>
      <c r="U23" s="29"/>
      <c r="V23" s="29"/>
      <c r="W23" s="30" t="s">
        <v>2032</v>
      </c>
      <c r="X23" s="29" t="s">
        <v>2032</v>
      </c>
      <c r="Y23" s="29"/>
      <c r="Z23" s="29"/>
      <c r="AA23" s="29"/>
      <c r="AB23" s="27" t="s">
        <v>2056</v>
      </c>
      <c r="AC23" s="27"/>
      <c r="AD23" s="27"/>
      <c r="AE23" s="31">
        <f t="shared" si="1"/>
        <v>1836</v>
      </c>
      <c r="AF23" s="31"/>
      <c r="AG23" s="31"/>
    </row>
    <row r="24" spans="1:33" s="1" customFormat="1" ht="46.5" customHeight="1">
      <c r="A24" s="24" t="s">
        <v>2064</v>
      </c>
      <c r="B24" s="25" t="s">
        <v>2081</v>
      </c>
      <c r="C24" s="25"/>
      <c r="D24" s="25"/>
      <c r="E24" s="26" t="s">
        <v>2078</v>
      </c>
      <c r="F24" s="26"/>
      <c r="G24" s="26"/>
      <c r="H24" s="26"/>
      <c r="I24" s="26"/>
      <c r="J24" s="27" t="s">
        <v>2056</v>
      </c>
      <c r="K24" s="27"/>
      <c r="L24" s="27"/>
      <c r="M24" s="27"/>
      <c r="N24" s="28">
        <f t="shared" si="0"/>
        <v>1836</v>
      </c>
      <c r="O24" s="28"/>
      <c r="P24" s="28"/>
      <c r="Q24" s="27" t="s">
        <v>2032</v>
      </c>
      <c r="R24" s="27"/>
      <c r="S24" s="29" t="s">
        <v>2032</v>
      </c>
      <c r="T24" s="29"/>
      <c r="U24" s="29"/>
      <c r="V24" s="29"/>
      <c r="W24" s="30" t="s">
        <v>2032</v>
      </c>
      <c r="X24" s="29" t="s">
        <v>2032</v>
      </c>
      <c r="Y24" s="29"/>
      <c r="Z24" s="29"/>
      <c r="AA24" s="29"/>
      <c r="AB24" s="27" t="s">
        <v>2056</v>
      </c>
      <c r="AC24" s="27"/>
      <c r="AD24" s="27"/>
      <c r="AE24" s="31">
        <f t="shared" si="1"/>
        <v>1836</v>
      </c>
      <c r="AF24" s="31"/>
      <c r="AG24" s="31"/>
    </row>
    <row r="25" spans="1:33" s="1" customFormat="1" ht="46.5" customHeight="1">
      <c r="A25" s="24" t="s">
        <v>2065</v>
      </c>
      <c r="B25" s="25" t="s">
        <v>2082</v>
      </c>
      <c r="C25" s="25"/>
      <c r="D25" s="25"/>
      <c r="E25" s="26" t="s">
        <v>2078</v>
      </c>
      <c r="F25" s="26"/>
      <c r="G25" s="26"/>
      <c r="H25" s="26"/>
      <c r="I25" s="26"/>
      <c r="J25" s="27" t="s">
        <v>2056</v>
      </c>
      <c r="K25" s="27"/>
      <c r="L25" s="27"/>
      <c r="M25" s="27"/>
      <c r="N25" s="28">
        <f t="shared" si="0"/>
        <v>1836</v>
      </c>
      <c r="O25" s="28"/>
      <c r="P25" s="28"/>
      <c r="Q25" s="27" t="s">
        <v>2032</v>
      </c>
      <c r="R25" s="27"/>
      <c r="S25" s="29" t="s">
        <v>2032</v>
      </c>
      <c r="T25" s="29"/>
      <c r="U25" s="29"/>
      <c r="V25" s="29"/>
      <c r="W25" s="30" t="s">
        <v>2032</v>
      </c>
      <c r="X25" s="29" t="s">
        <v>2032</v>
      </c>
      <c r="Y25" s="29"/>
      <c r="Z25" s="29"/>
      <c r="AA25" s="29"/>
      <c r="AB25" s="27" t="s">
        <v>2056</v>
      </c>
      <c r="AC25" s="27"/>
      <c r="AD25" s="27"/>
      <c r="AE25" s="31">
        <f t="shared" si="1"/>
        <v>1836</v>
      </c>
      <c r="AF25" s="31"/>
      <c r="AG25" s="31"/>
    </row>
    <row r="26" spans="1:33" s="1" customFormat="1" ht="33" customHeight="1">
      <c r="A26" s="24" t="s">
        <v>2066</v>
      </c>
      <c r="B26" s="25" t="s">
        <v>2083</v>
      </c>
      <c r="C26" s="25"/>
      <c r="D26" s="25"/>
      <c r="E26" s="26" t="s">
        <v>2084</v>
      </c>
      <c r="F26" s="26"/>
      <c r="G26" s="26"/>
      <c r="H26" s="26"/>
      <c r="I26" s="26"/>
      <c r="J26" s="27" t="s">
        <v>2056</v>
      </c>
      <c r="K26" s="27"/>
      <c r="L26" s="27"/>
      <c r="M26" s="27"/>
      <c r="N26" s="28">
        <f>2550</f>
        <v>2550</v>
      </c>
      <c r="O26" s="28"/>
      <c r="P26" s="28"/>
      <c r="Q26" s="27" t="s">
        <v>2032</v>
      </c>
      <c r="R26" s="27"/>
      <c r="S26" s="29" t="s">
        <v>2032</v>
      </c>
      <c r="T26" s="29"/>
      <c r="U26" s="29"/>
      <c r="V26" s="29"/>
      <c r="W26" s="30" t="s">
        <v>2032</v>
      </c>
      <c r="X26" s="29" t="s">
        <v>2032</v>
      </c>
      <c r="Y26" s="29"/>
      <c r="Z26" s="29"/>
      <c r="AA26" s="29"/>
      <c r="AB26" s="27" t="s">
        <v>2056</v>
      </c>
      <c r="AC26" s="27"/>
      <c r="AD26" s="27"/>
      <c r="AE26" s="31">
        <f>2550</f>
        <v>2550</v>
      </c>
      <c r="AF26" s="31"/>
      <c r="AG26" s="31"/>
    </row>
    <row r="27" spans="1:33" s="1" customFormat="1" ht="33" customHeight="1">
      <c r="A27" s="24" t="s">
        <v>2085</v>
      </c>
      <c r="B27" s="25" t="s">
        <v>2086</v>
      </c>
      <c r="C27" s="25"/>
      <c r="D27" s="25"/>
      <c r="E27" s="26" t="s">
        <v>2084</v>
      </c>
      <c r="F27" s="26"/>
      <c r="G27" s="26"/>
      <c r="H27" s="26"/>
      <c r="I27" s="26"/>
      <c r="J27" s="27" t="s">
        <v>2056</v>
      </c>
      <c r="K27" s="27"/>
      <c r="L27" s="27"/>
      <c r="M27" s="27"/>
      <c r="N27" s="28">
        <f>2550</f>
        <v>2550</v>
      </c>
      <c r="O27" s="28"/>
      <c r="P27" s="28"/>
      <c r="Q27" s="27" t="s">
        <v>2032</v>
      </c>
      <c r="R27" s="27"/>
      <c r="S27" s="29" t="s">
        <v>2032</v>
      </c>
      <c r="T27" s="29"/>
      <c r="U27" s="29"/>
      <c r="V27" s="29"/>
      <c r="W27" s="30" t="s">
        <v>2032</v>
      </c>
      <c r="X27" s="29" t="s">
        <v>2032</v>
      </c>
      <c r="Y27" s="29"/>
      <c r="Z27" s="29"/>
      <c r="AA27" s="29"/>
      <c r="AB27" s="27" t="s">
        <v>2056</v>
      </c>
      <c r="AC27" s="27"/>
      <c r="AD27" s="27"/>
      <c r="AE27" s="31">
        <f>2550</f>
        <v>2550</v>
      </c>
      <c r="AF27" s="31"/>
      <c r="AG27" s="31"/>
    </row>
    <row r="28" spans="1:33" s="1" customFormat="1" ht="33" customHeight="1">
      <c r="A28" s="24" t="s">
        <v>2087</v>
      </c>
      <c r="B28" s="25" t="s">
        <v>2088</v>
      </c>
      <c r="C28" s="25"/>
      <c r="D28" s="25"/>
      <c r="E28" s="26" t="s">
        <v>2089</v>
      </c>
      <c r="F28" s="26"/>
      <c r="G28" s="26"/>
      <c r="H28" s="26"/>
      <c r="I28" s="26"/>
      <c r="J28" s="27" t="s">
        <v>2056</v>
      </c>
      <c r="K28" s="27"/>
      <c r="L28" s="27"/>
      <c r="M28" s="27"/>
      <c r="N28" s="28">
        <f>387</f>
        <v>387</v>
      </c>
      <c r="O28" s="28"/>
      <c r="P28" s="28"/>
      <c r="Q28" s="27" t="s">
        <v>2032</v>
      </c>
      <c r="R28" s="27"/>
      <c r="S28" s="29" t="s">
        <v>2032</v>
      </c>
      <c r="T28" s="29"/>
      <c r="U28" s="29"/>
      <c r="V28" s="29"/>
      <c r="W28" s="30" t="s">
        <v>2032</v>
      </c>
      <c r="X28" s="29" t="s">
        <v>2032</v>
      </c>
      <c r="Y28" s="29"/>
      <c r="Z28" s="29"/>
      <c r="AA28" s="29"/>
      <c r="AB28" s="27" t="s">
        <v>2056</v>
      </c>
      <c r="AC28" s="27"/>
      <c r="AD28" s="27"/>
      <c r="AE28" s="31">
        <f>387</f>
        <v>387</v>
      </c>
      <c r="AF28" s="31"/>
      <c r="AG28" s="31"/>
    </row>
    <row r="29" spans="1:33" s="1" customFormat="1" ht="33" customHeight="1">
      <c r="A29" s="24" t="s">
        <v>2090</v>
      </c>
      <c r="B29" s="25" t="s">
        <v>2091</v>
      </c>
      <c r="C29" s="25"/>
      <c r="D29" s="25"/>
      <c r="E29" s="26" t="s">
        <v>2092</v>
      </c>
      <c r="F29" s="26"/>
      <c r="G29" s="26"/>
      <c r="H29" s="26"/>
      <c r="I29" s="26"/>
      <c r="J29" s="27" t="s">
        <v>2056</v>
      </c>
      <c r="K29" s="27"/>
      <c r="L29" s="27"/>
      <c r="M29" s="27"/>
      <c r="N29" s="28">
        <f>170</f>
        <v>170</v>
      </c>
      <c r="O29" s="28"/>
      <c r="P29" s="28"/>
      <c r="Q29" s="27" t="s">
        <v>2032</v>
      </c>
      <c r="R29" s="27"/>
      <c r="S29" s="29" t="s">
        <v>2032</v>
      </c>
      <c r="T29" s="29"/>
      <c r="U29" s="29"/>
      <c r="V29" s="29"/>
      <c r="W29" s="30" t="s">
        <v>2032</v>
      </c>
      <c r="X29" s="29" t="s">
        <v>2032</v>
      </c>
      <c r="Y29" s="29"/>
      <c r="Z29" s="29"/>
      <c r="AA29" s="29"/>
      <c r="AB29" s="27" t="s">
        <v>2056</v>
      </c>
      <c r="AC29" s="27"/>
      <c r="AD29" s="27"/>
      <c r="AE29" s="31">
        <f>170</f>
        <v>170</v>
      </c>
      <c r="AF29" s="31"/>
      <c r="AG29" s="31"/>
    </row>
    <row r="30" spans="1:33" s="1" customFormat="1" ht="46.5" customHeight="1">
      <c r="A30" s="24" t="s">
        <v>2093</v>
      </c>
      <c r="B30" s="25" t="s">
        <v>2094</v>
      </c>
      <c r="C30" s="25"/>
      <c r="D30" s="25"/>
      <c r="E30" s="26" t="s">
        <v>2095</v>
      </c>
      <c r="F30" s="26"/>
      <c r="G30" s="26"/>
      <c r="H30" s="26"/>
      <c r="I30" s="26"/>
      <c r="J30" s="27" t="s">
        <v>2056</v>
      </c>
      <c r="K30" s="27"/>
      <c r="L30" s="27"/>
      <c r="M30" s="27"/>
      <c r="N30" s="28">
        <f>1344</f>
        <v>1344</v>
      </c>
      <c r="O30" s="28"/>
      <c r="P30" s="28"/>
      <c r="Q30" s="27" t="s">
        <v>2032</v>
      </c>
      <c r="R30" s="27"/>
      <c r="S30" s="29" t="s">
        <v>2032</v>
      </c>
      <c r="T30" s="29"/>
      <c r="U30" s="29"/>
      <c r="V30" s="29"/>
      <c r="W30" s="30" t="s">
        <v>2032</v>
      </c>
      <c r="X30" s="29" t="s">
        <v>2032</v>
      </c>
      <c r="Y30" s="29"/>
      <c r="Z30" s="29"/>
      <c r="AA30" s="29"/>
      <c r="AB30" s="27" t="s">
        <v>2056</v>
      </c>
      <c r="AC30" s="27"/>
      <c r="AD30" s="27"/>
      <c r="AE30" s="31">
        <f>1344</f>
        <v>1344</v>
      </c>
      <c r="AF30" s="31"/>
      <c r="AG30" s="31"/>
    </row>
    <row r="31" spans="1:33" s="1" customFormat="1" ht="33" customHeight="1">
      <c r="A31" s="24" t="s">
        <v>2096</v>
      </c>
      <c r="B31" s="25" t="s">
        <v>2097</v>
      </c>
      <c r="C31" s="25"/>
      <c r="D31" s="25"/>
      <c r="E31" s="26" t="s">
        <v>2098</v>
      </c>
      <c r="F31" s="26"/>
      <c r="G31" s="26"/>
      <c r="H31" s="26"/>
      <c r="I31" s="26"/>
      <c r="J31" s="27" t="s">
        <v>2056</v>
      </c>
      <c r="K31" s="27"/>
      <c r="L31" s="27"/>
      <c r="M31" s="27"/>
      <c r="N31" s="28">
        <f>51</f>
        <v>51</v>
      </c>
      <c r="O31" s="28"/>
      <c r="P31" s="28"/>
      <c r="Q31" s="27" t="s">
        <v>2032</v>
      </c>
      <c r="R31" s="27"/>
      <c r="S31" s="29" t="s">
        <v>2032</v>
      </c>
      <c r="T31" s="29"/>
      <c r="U31" s="29"/>
      <c r="V31" s="29"/>
      <c r="W31" s="30" t="s">
        <v>2032</v>
      </c>
      <c r="X31" s="29" t="s">
        <v>2032</v>
      </c>
      <c r="Y31" s="29"/>
      <c r="Z31" s="29"/>
      <c r="AA31" s="29"/>
      <c r="AB31" s="27" t="s">
        <v>2056</v>
      </c>
      <c r="AC31" s="27"/>
      <c r="AD31" s="27"/>
      <c r="AE31" s="31">
        <f>51</f>
        <v>51</v>
      </c>
      <c r="AF31" s="31"/>
      <c r="AG31" s="31"/>
    </row>
    <row r="32" spans="1:33" s="1" customFormat="1" ht="33" customHeight="1">
      <c r="A32" s="24" t="s">
        <v>2099</v>
      </c>
      <c r="B32" s="25" t="s">
        <v>2100</v>
      </c>
      <c r="C32" s="25"/>
      <c r="D32" s="25"/>
      <c r="E32" s="26" t="s">
        <v>2101</v>
      </c>
      <c r="F32" s="26"/>
      <c r="G32" s="26"/>
      <c r="H32" s="26"/>
      <c r="I32" s="26"/>
      <c r="J32" s="27" t="s">
        <v>2056</v>
      </c>
      <c r="K32" s="27"/>
      <c r="L32" s="27"/>
      <c r="M32" s="27"/>
      <c r="N32" s="28">
        <f>170</f>
        <v>170</v>
      </c>
      <c r="O32" s="28"/>
      <c r="P32" s="28"/>
      <c r="Q32" s="27" t="s">
        <v>2032</v>
      </c>
      <c r="R32" s="27"/>
      <c r="S32" s="29" t="s">
        <v>2032</v>
      </c>
      <c r="T32" s="29"/>
      <c r="U32" s="29"/>
      <c r="V32" s="29"/>
      <c r="W32" s="30" t="s">
        <v>2032</v>
      </c>
      <c r="X32" s="29" t="s">
        <v>2032</v>
      </c>
      <c r="Y32" s="29"/>
      <c r="Z32" s="29"/>
      <c r="AA32" s="29"/>
      <c r="AB32" s="27" t="s">
        <v>2056</v>
      </c>
      <c r="AC32" s="27"/>
      <c r="AD32" s="27"/>
      <c r="AE32" s="31">
        <f>170</f>
        <v>170</v>
      </c>
      <c r="AF32" s="31"/>
      <c r="AG32" s="31"/>
    </row>
    <row r="33" spans="1:33" s="1" customFormat="1" ht="33" customHeight="1">
      <c r="A33" s="24" t="s">
        <v>2102</v>
      </c>
      <c r="B33" s="25" t="s">
        <v>2103</v>
      </c>
      <c r="C33" s="25"/>
      <c r="D33" s="25"/>
      <c r="E33" s="26" t="s">
        <v>2104</v>
      </c>
      <c r="F33" s="26"/>
      <c r="G33" s="26"/>
      <c r="H33" s="26"/>
      <c r="I33" s="26"/>
      <c r="J33" s="27" t="s">
        <v>2056</v>
      </c>
      <c r="K33" s="27"/>
      <c r="L33" s="27"/>
      <c r="M33" s="27"/>
      <c r="N33" s="28">
        <f>170</f>
        <v>170</v>
      </c>
      <c r="O33" s="28"/>
      <c r="P33" s="28"/>
      <c r="Q33" s="27" t="s">
        <v>2032</v>
      </c>
      <c r="R33" s="27"/>
      <c r="S33" s="29" t="s">
        <v>2032</v>
      </c>
      <c r="T33" s="29"/>
      <c r="U33" s="29"/>
      <c r="V33" s="29"/>
      <c r="W33" s="30" t="s">
        <v>2032</v>
      </c>
      <c r="X33" s="29" t="s">
        <v>2032</v>
      </c>
      <c r="Y33" s="29"/>
      <c r="Z33" s="29"/>
      <c r="AA33" s="29"/>
      <c r="AB33" s="27" t="s">
        <v>2056</v>
      </c>
      <c r="AC33" s="27"/>
      <c r="AD33" s="27"/>
      <c r="AE33" s="31">
        <f>170</f>
        <v>170</v>
      </c>
      <c r="AF33" s="31"/>
      <c r="AG33" s="31"/>
    </row>
    <row r="34" spans="1:33" s="1" customFormat="1" ht="33" customHeight="1">
      <c r="A34" s="24" t="s">
        <v>2105</v>
      </c>
      <c r="B34" s="25" t="s">
        <v>2106</v>
      </c>
      <c r="C34" s="25"/>
      <c r="D34" s="25"/>
      <c r="E34" s="26" t="s">
        <v>2107</v>
      </c>
      <c r="F34" s="26"/>
      <c r="G34" s="26"/>
      <c r="H34" s="26"/>
      <c r="I34" s="26"/>
      <c r="J34" s="27" t="s">
        <v>2056</v>
      </c>
      <c r="K34" s="27"/>
      <c r="L34" s="27"/>
      <c r="M34" s="27"/>
      <c r="N34" s="28">
        <f>170</f>
        <v>170</v>
      </c>
      <c r="O34" s="28"/>
      <c r="P34" s="28"/>
      <c r="Q34" s="27" t="s">
        <v>2032</v>
      </c>
      <c r="R34" s="27"/>
      <c r="S34" s="29" t="s">
        <v>2032</v>
      </c>
      <c r="T34" s="29"/>
      <c r="U34" s="29"/>
      <c r="V34" s="29"/>
      <c r="W34" s="30" t="s">
        <v>2032</v>
      </c>
      <c r="X34" s="29" t="s">
        <v>2032</v>
      </c>
      <c r="Y34" s="29"/>
      <c r="Z34" s="29"/>
      <c r="AA34" s="29"/>
      <c r="AB34" s="27" t="s">
        <v>2056</v>
      </c>
      <c r="AC34" s="27"/>
      <c r="AD34" s="27"/>
      <c r="AE34" s="31">
        <f>170</f>
        <v>170</v>
      </c>
      <c r="AF34" s="31"/>
      <c r="AG34" s="31"/>
    </row>
    <row r="35" spans="1:33" s="1" customFormat="1" ht="33" customHeight="1">
      <c r="A35" s="24" t="s">
        <v>2108</v>
      </c>
      <c r="B35" s="25" t="s">
        <v>2109</v>
      </c>
      <c r="C35" s="25"/>
      <c r="D35" s="25"/>
      <c r="E35" s="26" t="s">
        <v>2110</v>
      </c>
      <c r="F35" s="26"/>
      <c r="G35" s="26"/>
      <c r="H35" s="26"/>
      <c r="I35" s="26"/>
      <c r="J35" s="27" t="s">
        <v>2056</v>
      </c>
      <c r="K35" s="27"/>
      <c r="L35" s="27"/>
      <c r="M35" s="27"/>
      <c r="N35" s="28">
        <f>170</f>
        <v>170</v>
      </c>
      <c r="O35" s="28"/>
      <c r="P35" s="28"/>
      <c r="Q35" s="27" t="s">
        <v>2032</v>
      </c>
      <c r="R35" s="27"/>
      <c r="S35" s="29" t="s">
        <v>2032</v>
      </c>
      <c r="T35" s="29"/>
      <c r="U35" s="29"/>
      <c r="V35" s="29"/>
      <c r="W35" s="30" t="s">
        <v>2032</v>
      </c>
      <c r="X35" s="29" t="s">
        <v>2032</v>
      </c>
      <c r="Y35" s="29"/>
      <c r="Z35" s="29"/>
      <c r="AA35" s="29"/>
      <c r="AB35" s="27" t="s">
        <v>2056</v>
      </c>
      <c r="AC35" s="27"/>
      <c r="AD35" s="27"/>
      <c r="AE35" s="31">
        <f>170</f>
        <v>170</v>
      </c>
      <c r="AF35" s="31"/>
      <c r="AG35" s="31"/>
    </row>
    <row r="36" spans="1:33" s="1" customFormat="1" ht="33" customHeight="1">
      <c r="A36" s="24" t="s">
        <v>2111</v>
      </c>
      <c r="B36" s="25" t="s">
        <v>2112</v>
      </c>
      <c r="C36" s="25"/>
      <c r="D36" s="25"/>
      <c r="E36" s="26" t="s">
        <v>2113</v>
      </c>
      <c r="F36" s="26"/>
      <c r="G36" s="26"/>
      <c r="H36" s="26"/>
      <c r="I36" s="26"/>
      <c r="J36" s="27" t="s">
        <v>2056</v>
      </c>
      <c r="K36" s="27"/>
      <c r="L36" s="27"/>
      <c r="M36" s="27"/>
      <c r="N36" s="28">
        <f>198</f>
        <v>198</v>
      </c>
      <c r="O36" s="28"/>
      <c r="P36" s="28"/>
      <c r="Q36" s="27" t="s">
        <v>2032</v>
      </c>
      <c r="R36" s="27"/>
      <c r="S36" s="29" t="s">
        <v>2032</v>
      </c>
      <c r="T36" s="29"/>
      <c r="U36" s="29"/>
      <c r="V36" s="29"/>
      <c r="W36" s="30" t="s">
        <v>2032</v>
      </c>
      <c r="X36" s="29" t="s">
        <v>2032</v>
      </c>
      <c r="Y36" s="29"/>
      <c r="Z36" s="29"/>
      <c r="AA36" s="29"/>
      <c r="AB36" s="27" t="s">
        <v>2056</v>
      </c>
      <c r="AC36" s="27"/>
      <c r="AD36" s="27"/>
      <c r="AE36" s="31">
        <f>198</f>
        <v>198</v>
      </c>
      <c r="AF36" s="31"/>
      <c r="AG36" s="31"/>
    </row>
    <row r="37" spans="1:33" s="1" customFormat="1" ht="33" customHeight="1">
      <c r="A37" s="24" t="s">
        <v>2114</v>
      </c>
      <c r="B37" s="25" t="s">
        <v>2115</v>
      </c>
      <c r="C37" s="25"/>
      <c r="D37" s="25"/>
      <c r="E37" s="26" t="s">
        <v>2116</v>
      </c>
      <c r="F37" s="26"/>
      <c r="G37" s="26"/>
      <c r="H37" s="26"/>
      <c r="I37" s="26"/>
      <c r="J37" s="27" t="s">
        <v>2056</v>
      </c>
      <c r="K37" s="27"/>
      <c r="L37" s="27"/>
      <c r="M37" s="27"/>
      <c r="N37" s="28">
        <f>198</f>
        <v>198</v>
      </c>
      <c r="O37" s="28"/>
      <c r="P37" s="28"/>
      <c r="Q37" s="27" t="s">
        <v>2032</v>
      </c>
      <c r="R37" s="27"/>
      <c r="S37" s="29" t="s">
        <v>2032</v>
      </c>
      <c r="T37" s="29"/>
      <c r="U37" s="29"/>
      <c r="V37" s="29"/>
      <c r="W37" s="30" t="s">
        <v>2032</v>
      </c>
      <c r="X37" s="29" t="s">
        <v>2032</v>
      </c>
      <c r="Y37" s="29"/>
      <c r="Z37" s="29"/>
      <c r="AA37" s="29"/>
      <c r="AB37" s="27" t="s">
        <v>2056</v>
      </c>
      <c r="AC37" s="27"/>
      <c r="AD37" s="27"/>
      <c r="AE37" s="31">
        <f>198</f>
        <v>198</v>
      </c>
      <c r="AF37" s="31"/>
      <c r="AG37" s="31"/>
    </row>
    <row r="38" spans="1:33" s="1" customFormat="1" ht="33" customHeight="1">
      <c r="A38" s="24" t="s">
        <v>2117</v>
      </c>
      <c r="B38" s="25" t="s">
        <v>2118</v>
      </c>
      <c r="C38" s="25"/>
      <c r="D38" s="25"/>
      <c r="E38" s="26" t="s">
        <v>2119</v>
      </c>
      <c r="F38" s="26"/>
      <c r="G38" s="26"/>
      <c r="H38" s="26"/>
      <c r="I38" s="26"/>
      <c r="J38" s="27" t="s">
        <v>2056</v>
      </c>
      <c r="K38" s="27"/>
      <c r="L38" s="27"/>
      <c r="M38" s="27"/>
      <c r="N38" s="28">
        <f>165</f>
        <v>165</v>
      </c>
      <c r="O38" s="28"/>
      <c r="P38" s="28"/>
      <c r="Q38" s="27" t="s">
        <v>2032</v>
      </c>
      <c r="R38" s="27"/>
      <c r="S38" s="29" t="s">
        <v>2032</v>
      </c>
      <c r="T38" s="29"/>
      <c r="U38" s="29"/>
      <c r="V38" s="29"/>
      <c r="W38" s="30" t="s">
        <v>2032</v>
      </c>
      <c r="X38" s="29" t="s">
        <v>2032</v>
      </c>
      <c r="Y38" s="29"/>
      <c r="Z38" s="29"/>
      <c r="AA38" s="29"/>
      <c r="AB38" s="27" t="s">
        <v>2056</v>
      </c>
      <c r="AC38" s="27"/>
      <c r="AD38" s="27"/>
      <c r="AE38" s="31">
        <f>165</f>
        <v>165</v>
      </c>
      <c r="AF38" s="31"/>
      <c r="AG38" s="31"/>
    </row>
    <row r="39" spans="1:33" s="1" customFormat="1" ht="46.5" customHeight="1">
      <c r="A39" s="24" t="s">
        <v>2120</v>
      </c>
      <c r="B39" s="25" t="s">
        <v>2121</v>
      </c>
      <c r="C39" s="25"/>
      <c r="D39" s="25"/>
      <c r="E39" s="26" t="s">
        <v>2122</v>
      </c>
      <c r="F39" s="26"/>
      <c r="G39" s="26"/>
      <c r="H39" s="26"/>
      <c r="I39" s="26"/>
      <c r="J39" s="27" t="s">
        <v>2056</v>
      </c>
      <c r="K39" s="27"/>
      <c r="L39" s="27"/>
      <c r="M39" s="27"/>
      <c r="N39" s="28">
        <f>594</f>
        <v>594</v>
      </c>
      <c r="O39" s="28"/>
      <c r="P39" s="28"/>
      <c r="Q39" s="27" t="s">
        <v>2032</v>
      </c>
      <c r="R39" s="27"/>
      <c r="S39" s="29" t="s">
        <v>2032</v>
      </c>
      <c r="T39" s="29"/>
      <c r="U39" s="29"/>
      <c r="V39" s="29"/>
      <c r="W39" s="30" t="s">
        <v>2032</v>
      </c>
      <c r="X39" s="29" t="s">
        <v>2032</v>
      </c>
      <c r="Y39" s="29"/>
      <c r="Z39" s="29"/>
      <c r="AA39" s="29"/>
      <c r="AB39" s="27" t="s">
        <v>2056</v>
      </c>
      <c r="AC39" s="27"/>
      <c r="AD39" s="27"/>
      <c r="AE39" s="31">
        <f>594</f>
        <v>594</v>
      </c>
      <c r="AF39" s="31"/>
      <c r="AG39" s="31"/>
    </row>
    <row r="40" spans="1:33" s="1" customFormat="1" ht="33" customHeight="1">
      <c r="A40" s="24" t="s">
        <v>2123</v>
      </c>
      <c r="B40" s="25" t="s">
        <v>2124</v>
      </c>
      <c r="C40" s="25"/>
      <c r="D40" s="25"/>
      <c r="E40" s="26" t="s">
        <v>2125</v>
      </c>
      <c r="F40" s="26"/>
      <c r="G40" s="26"/>
      <c r="H40" s="26"/>
      <c r="I40" s="26"/>
      <c r="J40" s="27" t="s">
        <v>2056</v>
      </c>
      <c r="K40" s="27"/>
      <c r="L40" s="27"/>
      <c r="M40" s="27"/>
      <c r="N40" s="28">
        <f>396</f>
        <v>396</v>
      </c>
      <c r="O40" s="28"/>
      <c r="P40" s="28"/>
      <c r="Q40" s="27" t="s">
        <v>2032</v>
      </c>
      <c r="R40" s="27"/>
      <c r="S40" s="29" t="s">
        <v>2032</v>
      </c>
      <c r="T40" s="29"/>
      <c r="U40" s="29"/>
      <c r="V40" s="29"/>
      <c r="W40" s="30" t="s">
        <v>2032</v>
      </c>
      <c r="X40" s="29" t="s">
        <v>2032</v>
      </c>
      <c r="Y40" s="29"/>
      <c r="Z40" s="29"/>
      <c r="AA40" s="29"/>
      <c r="AB40" s="27" t="s">
        <v>2056</v>
      </c>
      <c r="AC40" s="27"/>
      <c r="AD40" s="27"/>
      <c r="AE40" s="31">
        <f>396</f>
        <v>396</v>
      </c>
      <c r="AF40" s="31"/>
      <c r="AG40" s="31"/>
    </row>
    <row r="41" spans="1:33" s="1" customFormat="1" ht="33" customHeight="1">
      <c r="A41" s="24" t="s">
        <v>2126</v>
      </c>
      <c r="B41" s="25" t="s">
        <v>2127</v>
      </c>
      <c r="C41" s="25"/>
      <c r="D41" s="25"/>
      <c r="E41" s="26" t="s">
        <v>2128</v>
      </c>
      <c r="F41" s="26"/>
      <c r="G41" s="26"/>
      <c r="H41" s="26"/>
      <c r="I41" s="26"/>
      <c r="J41" s="27" t="s">
        <v>2058</v>
      </c>
      <c r="K41" s="27"/>
      <c r="L41" s="27"/>
      <c r="M41" s="27"/>
      <c r="N41" s="28">
        <f>264</f>
        <v>264</v>
      </c>
      <c r="O41" s="28"/>
      <c r="P41" s="28"/>
      <c r="Q41" s="27" t="s">
        <v>2032</v>
      </c>
      <c r="R41" s="27"/>
      <c r="S41" s="29" t="s">
        <v>2032</v>
      </c>
      <c r="T41" s="29"/>
      <c r="U41" s="29"/>
      <c r="V41" s="29"/>
      <c r="W41" s="30" t="s">
        <v>2032</v>
      </c>
      <c r="X41" s="29" t="s">
        <v>2032</v>
      </c>
      <c r="Y41" s="29"/>
      <c r="Z41" s="29"/>
      <c r="AA41" s="29"/>
      <c r="AB41" s="27" t="s">
        <v>2058</v>
      </c>
      <c r="AC41" s="27"/>
      <c r="AD41" s="27"/>
      <c r="AE41" s="31">
        <f>264</f>
        <v>264</v>
      </c>
      <c r="AF41" s="31"/>
      <c r="AG41" s="31"/>
    </row>
    <row r="42" spans="1:33" s="1" customFormat="1" ht="33" customHeight="1">
      <c r="A42" s="24" t="s">
        <v>2129</v>
      </c>
      <c r="B42" s="25" t="s">
        <v>2130</v>
      </c>
      <c r="C42" s="25"/>
      <c r="D42" s="25"/>
      <c r="E42" s="26" t="s">
        <v>2131</v>
      </c>
      <c r="F42" s="26"/>
      <c r="G42" s="26"/>
      <c r="H42" s="26"/>
      <c r="I42" s="26"/>
      <c r="J42" s="27" t="s">
        <v>2096</v>
      </c>
      <c r="K42" s="27"/>
      <c r="L42" s="27"/>
      <c r="M42" s="27"/>
      <c r="N42" s="28">
        <f>10400</f>
        <v>10400</v>
      </c>
      <c r="O42" s="28"/>
      <c r="P42" s="28"/>
      <c r="Q42" s="27" t="s">
        <v>2032</v>
      </c>
      <c r="R42" s="27"/>
      <c r="S42" s="29" t="s">
        <v>2032</v>
      </c>
      <c r="T42" s="29"/>
      <c r="U42" s="29"/>
      <c r="V42" s="29"/>
      <c r="W42" s="30" t="s">
        <v>2032</v>
      </c>
      <c r="X42" s="29" t="s">
        <v>2032</v>
      </c>
      <c r="Y42" s="29"/>
      <c r="Z42" s="29"/>
      <c r="AA42" s="29"/>
      <c r="AB42" s="27" t="s">
        <v>2096</v>
      </c>
      <c r="AC42" s="27"/>
      <c r="AD42" s="27"/>
      <c r="AE42" s="31">
        <f>10400</f>
        <v>10400</v>
      </c>
      <c r="AF42" s="31"/>
      <c r="AG42" s="31"/>
    </row>
    <row r="43" spans="1:33" s="1" customFormat="1" ht="18.75" customHeight="1">
      <c r="A43" s="24" t="s">
        <v>2132</v>
      </c>
      <c r="B43" s="25" t="s">
        <v>2133</v>
      </c>
      <c r="C43" s="25"/>
      <c r="D43" s="25"/>
      <c r="E43" s="26" t="s">
        <v>2134</v>
      </c>
      <c r="F43" s="26"/>
      <c r="G43" s="26"/>
      <c r="H43" s="26"/>
      <c r="I43" s="26"/>
      <c r="J43" s="27" t="s">
        <v>2056</v>
      </c>
      <c r="K43" s="27"/>
      <c r="L43" s="27"/>
      <c r="M43" s="27"/>
      <c r="N43" s="28">
        <f>170</f>
        <v>170</v>
      </c>
      <c r="O43" s="28"/>
      <c r="P43" s="28"/>
      <c r="Q43" s="27" t="s">
        <v>2032</v>
      </c>
      <c r="R43" s="27"/>
      <c r="S43" s="29" t="s">
        <v>2032</v>
      </c>
      <c r="T43" s="29"/>
      <c r="U43" s="29"/>
      <c r="V43" s="29"/>
      <c r="W43" s="30" t="s">
        <v>2032</v>
      </c>
      <c r="X43" s="29" t="s">
        <v>2032</v>
      </c>
      <c r="Y43" s="29"/>
      <c r="Z43" s="29"/>
      <c r="AA43" s="29"/>
      <c r="AB43" s="27" t="s">
        <v>2056</v>
      </c>
      <c r="AC43" s="27"/>
      <c r="AD43" s="27"/>
      <c r="AE43" s="31">
        <f>170</f>
        <v>170</v>
      </c>
      <c r="AF43" s="31"/>
      <c r="AG43" s="31"/>
    </row>
    <row r="44" spans="1:33" s="1" customFormat="1" ht="33" customHeight="1">
      <c r="A44" s="24" t="s">
        <v>2135</v>
      </c>
      <c r="B44" s="25" t="s">
        <v>2136</v>
      </c>
      <c r="C44" s="25"/>
      <c r="D44" s="25"/>
      <c r="E44" s="26" t="s">
        <v>2137</v>
      </c>
      <c r="F44" s="26"/>
      <c r="G44" s="26"/>
      <c r="H44" s="26"/>
      <c r="I44" s="26"/>
      <c r="J44" s="27" t="s">
        <v>2056</v>
      </c>
      <c r="K44" s="27"/>
      <c r="L44" s="27"/>
      <c r="M44" s="27"/>
      <c r="N44" s="28">
        <f>825</f>
        <v>825</v>
      </c>
      <c r="O44" s="28"/>
      <c r="P44" s="28"/>
      <c r="Q44" s="27" t="s">
        <v>2032</v>
      </c>
      <c r="R44" s="27"/>
      <c r="S44" s="29" t="s">
        <v>2032</v>
      </c>
      <c r="T44" s="29"/>
      <c r="U44" s="29"/>
      <c r="V44" s="29"/>
      <c r="W44" s="30" t="s">
        <v>2032</v>
      </c>
      <c r="X44" s="29" t="s">
        <v>2032</v>
      </c>
      <c r="Y44" s="29"/>
      <c r="Z44" s="29"/>
      <c r="AA44" s="29"/>
      <c r="AB44" s="27" t="s">
        <v>2056</v>
      </c>
      <c r="AC44" s="27"/>
      <c r="AD44" s="27"/>
      <c r="AE44" s="31">
        <f>825</f>
        <v>825</v>
      </c>
      <c r="AF44" s="31"/>
      <c r="AG44" s="31"/>
    </row>
    <row r="45" spans="1:33" s="1" customFormat="1" ht="46.5" customHeight="1">
      <c r="A45" s="24" t="s">
        <v>2138</v>
      </c>
      <c r="B45" s="25" t="s">
        <v>2139</v>
      </c>
      <c r="C45" s="25"/>
      <c r="D45" s="25"/>
      <c r="E45" s="26" t="s">
        <v>2140</v>
      </c>
      <c r="F45" s="26"/>
      <c r="G45" s="26"/>
      <c r="H45" s="26"/>
      <c r="I45" s="26"/>
      <c r="J45" s="27" t="s">
        <v>2056</v>
      </c>
      <c r="K45" s="27"/>
      <c r="L45" s="27"/>
      <c r="M45" s="27"/>
      <c r="N45" s="28">
        <f>1322</f>
        <v>1322</v>
      </c>
      <c r="O45" s="28"/>
      <c r="P45" s="28"/>
      <c r="Q45" s="27" t="s">
        <v>2032</v>
      </c>
      <c r="R45" s="27"/>
      <c r="S45" s="29" t="s">
        <v>2032</v>
      </c>
      <c r="T45" s="29"/>
      <c r="U45" s="29"/>
      <c r="V45" s="29"/>
      <c r="W45" s="30" t="s">
        <v>2032</v>
      </c>
      <c r="X45" s="29" t="s">
        <v>2032</v>
      </c>
      <c r="Y45" s="29"/>
      <c r="Z45" s="29"/>
      <c r="AA45" s="29"/>
      <c r="AB45" s="27" t="s">
        <v>2056</v>
      </c>
      <c r="AC45" s="27"/>
      <c r="AD45" s="27"/>
      <c r="AE45" s="31">
        <f>1322</f>
        <v>1322</v>
      </c>
      <c r="AF45" s="31"/>
      <c r="AG45" s="31"/>
    </row>
    <row r="46" spans="1:33" s="1" customFormat="1" ht="33" customHeight="1">
      <c r="A46" s="24" t="s">
        <v>2141</v>
      </c>
      <c r="B46" s="25" t="s">
        <v>2142</v>
      </c>
      <c r="C46" s="25"/>
      <c r="D46" s="25"/>
      <c r="E46" s="26" t="s">
        <v>2143</v>
      </c>
      <c r="F46" s="26"/>
      <c r="G46" s="26"/>
      <c r="H46" s="26"/>
      <c r="I46" s="26"/>
      <c r="J46" s="27" t="s">
        <v>2056</v>
      </c>
      <c r="K46" s="27"/>
      <c r="L46" s="27"/>
      <c r="M46" s="27"/>
      <c r="N46" s="28">
        <f>170</f>
        <v>170</v>
      </c>
      <c r="O46" s="28"/>
      <c r="P46" s="28"/>
      <c r="Q46" s="27" t="s">
        <v>2032</v>
      </c>
      <c r="R46" s="27"/>
      <c r="S46" s="29" t="s">
        <v>2032</v>
      </c>
      <c r="T46" s="29"/>
      <c r="U46" s="29"/>
      <c r="V46" s="29"/>
      <c r="W46" s="30" t="s">
        <v>2032</v>
      </c>
      <c r="X46" s="29" t="s">
        <v>2032</v>
      </c>
      <c r="Y46" s="29"/>
      <c r="Z46" s="29"/>
      <c r="AA46" s="29"/>
      <c r="AB46" s="27" t="s">
        <v>2056</v>
      </c>
      <c r="AC46" s="27"/>
      <c r="AD46" s="27"/>
      <c r="AE46" s="31">
        <f>170</f>
        <v>170</v>
      </c>
      <c r="AF46" s="31"/>
      <c r="AG46" s="31"/>
    </row>
    <row r="47" spans="1:33" s="1" customFormat="1" ht="46.5" customHeight="1">
      <c r="A47" s="24" t="s">
        <v>2144</v>
      </c>
      <c r="B47" s="25" t="s">
        <v>2145</v>
      </c>
      <c r="C47" s="25"/>
      <c r="D47" s="25"/>
      <c r="E47" s="26" t="s">
        <v>2146</v>
      </c>
      <c r="F47" s="26"/>
      <c r="G47" s="26"/>
      <c r="H47" s="26"/>
      <c r="I47" s="26"/>
      <c r="J47" s="27" t="s">
        <v>2056</v>
      </c>
      <c r="K47" s="27"/>
      <c r="L47" s="27"/>
      <c r="M47" s="27"/>
      <c r="N47" s="28">
        <f>170</f>
        <v>170</v>
      </c>
      <c r="O47" s="28"/>
      <c r="P47" s="28"/>
      <c r="Q47" s="27" t="s">
        <v>2032</v>
      </c>
      <c r="R47" s="27"/>
      <c r="S47" s="29" t="s">
        <v>2032</v>
      </c>
      <c r="T47" s="29"/>
      <c r="U47" s="29"/>
      <c r="V47" s="29"/>
      <c r="W47" s="30" t="s">
        <v>2032</v>
      </c>
      <c r="X47" s="29" t="s">
        <v>2032</v>
      </c>
      <c r="Y47" s="29"/>
      <c r="Z47" s="29"/>
      <c r="AA47" s="29"/>
      <c r="AB47" s="27" t="s">
        <v>2056</v>
      </c>
      <c r="AC47" s="27"/>
      <c r="AD47" s="27"/>
      <c r="AE47" s="31">
        <f>170</f>
        <v>170</v>
      </c>
      <c r="AF47" s="31"/>
      <c r="AG47" s="31"/>
    </row>
    <row r="48" spans="1:33" s="1" customFormat="1" ht="46.5" customHeight="1">
      <c r="A48" s="24" t="s">
        <v>2147</v>
      </c>
      <c r="B48" s="25" t="s">
        <v>2148</v>
      </c>
      <c r="C48" s="25"/>
      <c r="D48" s="25"/>
      <c r="E48" s="26" t="s">
        <v>2149</v>
      </c>
      <c r="F48" s="26"/>
      <c r="G48" s="26"/>
      <c r="H48" s="26"/>
      <c r="I48" s="26"/>
      <c r="J48" s="27" t="s">
        <v>2057</v>
      </c>
      <c r="K48" s="27"/>
      <c r="L48" s="27"/>
      <c r="M48" s="27"/>
      <c r="N48" s="28">
        <f>340</f>
        <v>340</v>
      </c>
      <c r="O48" s="28"/>
      <c r="P48" s="28"/>
      <c r="Q48" s="27" t="s">
        <v>2032</v>
      </c>
      <c r="R48" s="27"/>
      <c r="S48" s="29" t="s">
        <v>2032</v>
      </c>
      <c r="T48" s="29"/>
      <c r="U48" s="29"/>
      <c r="V48" s="29"/>
      <c r="W48" s="30" t="s">
        <v>2032</v>
      </c>
      <c r="X48" s="29" t="s">
        <v>2032</v>
      </c>
      <c r="Y48" s="29"/>
      <c r="Z48" s="29"/>
      <c r="AA48" s="29"/>
      <c r="AB48" s="27" t="s">
        <v>2057</v>
      </c>
      <c r="AC48" s="27"/>
      <c r="AD48" s="27"/>
      <c r="AE48" s="31">
        <f>340</f>
        <v>340</v>
      </c>
      <c r="AF48" s="31"/>
      <c r="AG48" s="31"/>
    </row>
    <row r="49" spans="1:33" s="1" customFormat="1" ht="18.75" customHeight="1">
      <c r="A49" s="24" t="s">
        <v>2150</v>
      </c>
      <c r="B49" s="25" t="s">
        <v>2151</v>
      </c>
      <c r="C49" s="25"/>
      <c r="D49" s="25"/>
      <c r="E49" s="26" t="s">
        <v>2152</v>
      </c>
      <c r="F49" s="26"/>
      <c r="G49" s="26"/>
      <c r="H49" s="26"/>
      <c r="I49" s="26"/>
      <c r="J49" s="27" t="s">
        <v>2105</v>
      </c>
      <c r="K49" s="27"/>
      <c r="L49" s="27"/>
      <c r="M49" s="27"/>
      <c r="N49" s="28">
        <f>1625.99</f>
        <v>1625.99</v>
      </c>
      <c r="O49" s="28"/>
      <c r="P49" s="28"/>
      <c r="Q49" s="27" t="s">
        <v>2032</v>
      </c>
      <c r="R49" s="27"/>
      <c r="S49" s="29" t="s">
        <v>2032</v>
      </c>
      <c r="T49" s="29"/>
      <c r="U49" s="29"/>
      <c r="V49" s="29"/>
      <c r="W49" s="30" t="s">
        <v>2032</v>
      </c>
      <c r="X49" s="29" t="s">
        <v>2032</v>
      </c>
      <c r="Y49" s="29"/>
      <c r="Z49" s="29"/>
      <c r="AA49" s="29"/>
      <c r="AB49" s="27" t="s">
        <v>2105</v>
      </c>
      <c r="AC49" s="27"/>
      <c r="AD49" s="27"/>
      <c r="AE49" s="31">
        <f>1625.99</f>
        <v>1625.99</v>
      </c>
      <c r="AF49" s="31"/>
      <c r="AG49" s="31"/>
    </row>
    <row r="50" spans="1:33" s="1" customFormat="1" ht="46.5" customHeight="1">
      <c r="A50" s="24" t="s">
        <v>2153</v>
      </c>
      <c r="B50" s="25" t="s">
        <v>2154</v>
      </c>
      <c r="C50" s="25"/>
      <c r="D50" s="25"/>
      <c r="E50" s="26" t="s">
        <v>2155</v>
      </c>
      <c r="F50" s="26"/>
      <c r="G50" s="26"/>
      <c r="H50" s="26"/>
      <c r="I50" s="26"/>
      <c r="J50" s="27" t="s">
        <v>2056</v>
      </c>
      <c r="K50" s="27"/>
      <c r="L50" s="27"/>
      <c r="M50" s="27"/>
      <c r="N50" s="28">
        <f>48</f>
        <v>48</v>
      </c>
      <c r="O50" s="28"/>
      <c r="P50" s="28"/>
      <c r="Q50" s="27" t="s">
        <v>2032</v>
      </c>
      <c r="R50" s="27"/>
      <c r="S50" s="29" t="s">
        <v>2032</v>
      </c>
      <c r="T50" s="29"/>
      <c r="U50" s="29"/>
      <c r="V50" s="29"/>
      <c r="W50" s="30" t="s">
        <v>2032</v>
      </c>
      <c r="X50" s="29" t="s">
        <v>2032</v>
      </c>
      <c r="Y50" s="29"/>
      <c r="Z50" s="29"/>
      <c r="AA50" s="29"/>
      <c r="AB50" s="27" t="s">
        <v>2056</v>
      </c>
      <c r="AC50" s="27"/>
      <c r="AD50" s="27"/>
      <c r="AE50" s="31">
        <f>48</f>
        <v>48</v>
      </c>
      <c r="AF50" s="31"/>
      <c r="AG50" s="31"/>
    </row>
    <row r="51" spans="1:33" s="1" customFormat="1" ht="33" customHeight="1">
      <c r="A51" s="24" t="s">
        <v>2156</v>
      </c>
      <c r="B51" s="25" t="s">
        <v>2157</v>
      </c>
      <c r="C51" s="25"/>
      <c r="D51" s="25"/>
      <c r="E51" s="26" t="s">
        <v>2158</v>
      </c>
      <c r="F51" s="26"/>
      <c r="G51" s="26"/>
      <c r="H51" s="26"/>
      <c r="I51" s="26"/>
      <c r="J51" s="27" t="s">
        <v>2056</v>
      </c>
      <c r="K51" s="27"/>
      <c r="L51" s="27"/>
      <c r="M51" s="27"/>
      <c r="N51" s="28">
        <f>170</f>
        <v>170</v>
      </c>
      <c r="O51" s="28"/>
      <c r="P51" s="28"/>
      <c r="Q51" s="27" t="s">
        <v>2032</v>
      </c>
      <c r="R51" s="27"/>
      <c r="S51" s="29" t="s">
        <v>2032</v>
      </c>
      <c r="T51" s="29"/>
      <c r="U51" s="29"/>
      <c r="V51" s="29"/>
      <c r="W51" s="30" t="s">
        <v>2032</v>
      </c>
      <c r="X51" s="29" t="s">
        <v>2032</v>
      </c>
      <c r="Y51" s="29"/>
      <c r="Z51" s="29"/>
      <c r="AA51" s="29"/>
      <c r="AB51" s="27" t="s">
        <v>2056</v>
      </c>
      <c r="AC51" s="27"/>
      <c r="AD51" s="27"/>
      <c r="AE51" s="31">
        <f>170</f>
        <v>170</v>
      </c>
      <c r="AF51" s="31"/>
      <c r="AG51" s="31"/>
    </row>
    <row r="52" spans="1:33" s="1" customFormat="1" ht="33" customHeight="1">
      <c r="A52" s="24" t="s">
        <v>2159</v>
      </c>
      <c r="B52" s="25" t="s">
        <v>2160</v>
      </c>
      <c r="C52" s="25"/>
      <c r="D52" s="25"/>
      <c r="E52" s="26" t="s">
        <v>2161</v>
      </c>
      <c r="F52" s="26"/>
      <c r="G52" s="26"/>
      <c r="H52" s="26"/>
      <c r="I52" s="26"/>
      <c r="J52" s="27" t="s">
        <v>2056</v>
      </c>
      <c r="K52" s="27"/>
      <c r="L52" s="27"/>
      <c r="M52" s="27"/>
      <c r="N52" s="28">
        <f>1694</f>
        <v>1694</v>
      </c>
      <c r="O52" s="28"/>
      <c r="P52" s="28"/>
      <c r="Q52" s="27" t="s">
        <v>2032</v>
      </c>
      <c r="R52" s="27"/>
      <c r="S52" s="29" t="s">
        <v>2032</v>
      </c>
      <c r="T52" s="29"/>
      <c r="U52" s="29"/>
      <c r="V52" s="29"/>
      <c r="W52" s="30" t="s">
        <v>2032</v>
      </c>
      <c r="X52" s="29" t="s">
        <v>2032</v>
      </c>
      <c r="Y52" s="29"/>
      <c r="Z52" s="29"/>
      <c r="AA52" s="29"/>
      <c r="AB52" s="27" t="s">
        <v>2056</v>
      </c>
      <c r="AC52" s="27"/>
      <c r="AD52" s="27"/>
      <c r="AE52" s="31">
        <f>1694</f>
        <v>1694</v>
      </c>
      <c r="AF52" s="31"/>
      <c r="AG52" s="31"/>
    </row>
    <row r="53" spans="1:33" s="1" customFormat="1" ht="18.75" customHeight="1">
      <c r="A53" s="24" t="s">
        <v>2162</v>
      </c>
      <c r="B53" s="25" t="s">
        <v>2163</v>
      </c>
      <c r="C53" s="25"/>
      <c r="D53" s="25"/>
      <c r="E53" s="26" t="s">
        <v>2164</v>
      </c>
      <c r="F53" s="26"/>
      <c r="G53" s="26"/>
      <c r="H53" s="26"/>
      <c r="I53" s="26"/>
      <c r="J53" s="27" t="s">
        <v>2056</v>
      </c>
      <c r="K53" s="27"/>
      <c r="L53" s="27"/>
      <c r="M53" s="27"/>
      <c r="N53" s="28">
        <f>1678</f>
        <v>1678</v>
      </c>
      <c r="O53" s="28"/>
      <c r="P53" s="28"/>
      <c r="Q53" s="27" t="s">
        <v>2032</v>
      </c>
      <c r="R53" s="27"/>
      <c r="S53" s="29" t="s">
        <v>2032</v>
      </c>
      <c r="T53" s="29"/>
      <c r="U53" s="29"/>
      <c r="V53" s="29"/>
      <c r="W53" s="30" t="s">
        <v>2032</v>
      </c>
      <c r="X53" s="29" t="s">
        <v>2032</v>
      </c>
      <c r="Y53" s="29"/>
      <c r="Z53" s="29"/>
      <c r="AA53" s="29"/>
      <c r="AB53" s="27" t="s">
        <v>2056</v>
      </c>
      <c r="AC53" s="27"/>
      <c r="AD53" s="27"/>
      <c r="AE53" s="31">
        <f>1678</f>
        <v>1678</v>
      </c>
      <c r="AF53" s="31"/>
      <c r="AG53" s="31"/>
    </row>
    <row r="54" spans="1:33" s="1" customFormat="1" ht="33" customHeight="1">
      <c r="A54" s="24" t="s">
        <v>2165</v>
      </c>
      <c r="B54" s="25" t="s">
        <v>2166</v>
      </c>
      <c r="C54" s="25"/>
      <c r="D54" s="25"/>
      <c r="E54" s="26" t="s">
        <v>2167</v>
      </c>
      <c r="F54" s="26"/>
      <c r="G54" s="26"/>
      <c r="H54" s="26"/>
      <c r="I54" s="26"/>
      <c r="J54" s="27" t="s">
        <v>2056</v>
      </c>
      <c r="K54" s="27"/>
      <c r="L54" s="27"/>
      <c r="M54" s="27"/>
      <c r="N54" s="28">
        <f>1296.01</f>
        <v>1296.01</v>
      </c>
      <c r="O54" s="28"/>
      <c r="P54" s="28"/>
      <c r="Q54" s="27" t="s">
        <v>2032</v>
      </c>
      <c r="R54" s="27"/>
      <c r="S54" s="29" t="s">
        <v>2032</v>
      </c>
      <c r="T54" s="29"/>
      <c r="U54" s="29"/>
      <c r="V54" s="29"/>
      <c r="W54" s="30" t="s">
        <v>2032</v>
      </c>
      <c r="X54" s="29" t="s">
        <v>2032</v>
      </c>
      <c r="Y54" s="29"/>
      <c r="Z54" s="29"/>
      <c r="AA54" s="29"/>
      <c r="AB54" s="27" t="s">
        <v>2056</v>
      </c>
      <c r="AC54" s="27"/>
      <c r="AD54" s="27"/>
      <c r="AE54" s="31">
        <f>1296.01</f>
        <v>1296.01</v>
      </c>
      <c r="AF54" s="31"/>
      <c r="AG54" s="31"/>
    </row>
    <row r="55" spans="1:33" s="1" customFormat="1" ht="33" customHeight="1">
      <c r="A55" s="24" t="s">
        <v>2168</v>
      </c>
      <c r="B55" s="25" t="s">
        <v>2169</v>
      </c>
      <c r="C55" s="25"/>
      <c r="D55" s="25"/>
      <c r="E55" s="26" t="s">
        <v>2170</v>
      </c>
      <c r="F55" s="26"/>
      <c r="G55" s="26"/>
      <c r="H55" s="26"/>
      <c r="I55" s="26"/>
      <c r="J55" s="27" t="s">
        <v>2056</v>
      </c>
      <c r="K55" s="27"/>
      <c r="L55" s="27"/>
      <c r="M55" s="27"/>
      <c r="N55" s="28">
        <f>2792</f>
        <v>2792</v>
      </c>
      <c r="O55" s="28"/>
      <c r="P55" s="28"/>
      <c r="Q55" s="27" t="s">
        <v>2032</v>
      </c>
      <c r="R55" s="27"/>
      <c r="S55" s="29" t="s">
        <v>2032</v>
      </c>
      <c r="T55" s="29"/>
      <c r="U55" s="29"/>
      <c r="V55" s="29"/>
      <c r="W55" s="30" t="s">
        <v>2032</v>
      </c>
      <c r="X55" s="29" t="s">
        <v>2032</v>
      </c>
      <c r="Y55" s="29"/>
      <c r="Z55" s="29"/>
      <c r="AA55" s="29"/>
      <c r="AB55" s="27" t="s">
        <v>2056</v>
      </c>
      <c r="AC55" s="27"/>
      <c r="AD55" s="27"/>
      <c r="AE55" s="31">
        <f>2792</f>
        <v>2792</v>
      </c>
      <c r="AF55" s="31"/>
      <c r="AG55" s="31"/>
    </row>
    <row r="56" spans="1:33" s="1" customFormat="1" ht="33" customHeight="1">
      <c r="A56" s="24" t="s">
        <v>2171</v>
      </c>
      <c r="B56" s="25" t="s">
        <v>2172</v>
      </c>
      <c r="C56" s="25"/>
      <c r="D56" s="25"/>
      <c r="E56" s="26" t="s">
        <v>2173</v>
      </c>
      <c r="F56" s="26"/>
      <c r="G56" s="26"/>
      <c r="H56" s="26"/>
      <c r="I56" s="26"/>
      <c r="J56" s="27" t="s">
        <v>2056</v>
      </c>
      <c r="K56" s="27"/>
      <c r="L56" s="27"/>
      <c r="M56" s="27"/>
      <c r="N56" s="28">
        <f>1462</f>
        <v>1462</v>
      </c>
      <c r="O56" s="28"/>
      <c r="P56" s="28"/>
      <c r="Q56" s="27" t="s">
        <v>2032</v>
      </c>
      <c r="R56" s="27"/>
      <c r="S56" s="29" t="s">
        <v>2032</v>
      </c>
      <c r="T56" s="29"/>
      <c r="U56" s="29"/>
      <c r="V56" s="29"/>
      <c r="W56" s="30" t="s">
        <v>2032</v>
      </c>
      <c r="X56" s="29" t="s">
        <v>2032</v>
      </c>
      <c r="Y56" s="29"/>
      <c r="Z56" s="29"/>
      <c r="AA56" s="29"/>
      <c r="AB56" s="27" t="s">
        <v>2056</v>
      </c>
      <c r="AC56" s="27"/>
      <c r="AD56" s="27"/>
      <c r="AE56" s="31">
        <f>1462</f>
        <v>1462</v>
      </c>
      <c r="AF56" s="31"/>
      <c r="AG56" s="31"/>
    </row>
    <row r="57" spans="1:33" s="1" customFormat="1" ht="33" customHeight="1">
      <c r="A57" s="24" t="s">
        <v>2174</v>
      </c>
      <c r="B57" s="25" t="s">
        <v>2175</v>
      </c>
      <c r="C57" s="25"/>
      <c r="D57" s="25"/>
      <c r="E57" s="26" t="s">
        <v>2176</v>
      </c>
      <c r="F57" s="26"/>
      <c r="G57" s="26"/>
      <c r="H57" s="26"/>
      <c r="I57" s="26"/>
      <c r="J57" s="27" t="s">
        <v>2057</v>
      </c>
      <c r="K57" s="27"/>
      <c r="L57" s="27"/>
      <c r="M57" s="27"/>
      <c r="N57" s="28">
        <f>340</f>
        <v>340</v>
      </c>
      <c r="O57" s="28"/>
      <c r="P57" s="28"/>
      <c r="Q57" s="27" t="s">
        <v>2032</v>
      </c>
      <c r="R57" s="27"/>
      <c r="S57" s="29" t="s">
        <v>2032</v>
      </c>
      <c r="T57" s="29"/>
      <c r="U57" s="29"/>
      <c r="V57" s="29"/>
      <c r="W57" s="30" t="s">
        <v>2032</v>
      </c>
      <c r="X57" s="29" t="s">
        <v>2032</v>
      </c>
      <c r="Y57" s="29"/>
      <c r="Z57" s="29"/>
      <c r="AA57" s="29"/>
      <c r="AB57" s="27" t="s">
        <v>2057</v>
      </c>
      <c r="AC57" s="27"/>
      <c r="AD57" s="27"/>
      <c r="AE57" s="31">
        <f>340</f>
        <v>340</v>
      </c>
      <c r="AF57" s="31"/>
      <c r="AG57" s="31"/>
    </row>
    <row r="58" spans="1:33" s="1" customFormat="1" ht="33" customHeight="1">
      <c r="A58" s="24" t="s">
        <v>2177</v>
      </c>
      <c r="B58" s="25" t="s">
        <v>2178</v>
      </c>
      <c r="C58" s="25"/>
      <c r="D58" s="25"/>
      <c r="E58" s="26" t="s">
        <v>2179</v>
      </c>
      <c r="F58" s="26"/>
      <c r="G58" s="26"/>
      <c r="H58" s="26"/>
      <c r="I58" s="26"/>
      <c r="J58" s="27" t="s">
        <v>2056</v>
      </c>
      <c r="K58" s="27"/>
      <c r="L58" s="27"/>
      <c r="M58" s="27"/>
      <c r="N58" s="28">
        <f>316</f>
        <v>316</v>
      </c>
      <c r="O58" s="28"/>
      <c r="P58" s="28"/>
      <c r="Q58" s="27" t="s">
        <v>2032</v>
      </c>
      <c r="R58" s="27"/>
      <c r="S58" s="29" t="s">
        <v>2032</v>
      </c>
      <c r="T58" s="29"/>
      <c r="U58" s="29"/>
      <c r="V58" s="29"/>
      <c r="W58" s="30" t="s">
        <v>2032</v>
      </c>
      <c r="X58" s="29" t="s">
        <v>2032</v>
      </c>
      <c r="Y58" s="29"/>
      <c r="Z58" s="29"/>
      <c r="AA58" s="29"/>
      <c r="AB58" s="27" t="s">
        <v>2056</v>
      </c>
      <c r="AC58" s="27"/>
      <c r="AD58" s="27"/>
      <c r="AE58" s="31">
        <f>316</f>
        <v>316</v>
      </c>
      <c r="AF58" s="31"/>
      <c r="AG58" s="31"/>
    </row>
    <row r="59" spans="1:33" s="1" customFormat="1" ht="46.5" customHeight="1">
      <c r="A59" s="24" t="s">
        <v>2180</v>
      </c>
      <c r="B59" s="25" t="s">
        <v>2181</v>
      </c>
      <c r="C59" s="25"/>
      <c r="D59" s="25"/>
      <c r="E59" s="26" t="s">
        <v>2182</v>
      </c>
      <c r="F59" s="26"/>
      <c r="G59" s="26"/>
      <c r="H59" s="26"/>
      <c r="I59" s="26"/>
      <c r="J59" s="27" t="s">
        <v>2056</v>
      </c>
      <c r="K59" s="27"/>
      <c r="L59" s="27"/>
      <c r="M59" s="27"/>
      <c r="N59" s="28">
        <f>674</f>
        <v>674</v>
      </c>
      <c r="O59" s="28"/>
      <c r="P59" s="28"/>
      <c r="Q59" s="27" t="s">
        <v>2032</v>
      </c>
      <c r="R59" s="27"/>
      <c r="S59" s="29" t="s">
        <v>2032</v>
      </c>
      <c r="T59" s="29"/>
      <c r="U59" s="29"/>
      <c r="V59" s="29"/>
      <c r="W59" s="30" t="s">
        <v>2032</v>
      </c>
      <c r="X59" s="29" t="s">
        <v>2032</v>
      </c>
      <c r="Y59" s="29"/>
      <c r="Z59" s="29"/>
      <c r="AA59" s="29"/>
      <c r="AB59" s="27" t="s">
        <v>2056</v>
      </c>
      <c r="AC59" s="27"/>
      <c r="AD59" s="27"/>
      <c r="AE59" s="31">
        <f>674</f>
        <v>674</v>
      </c>
      <c r="AF59" s="31"/>
      <c r="AG59" s="31"/>
    </row>
    <row r="60" spans="1:33" s="1" customFormat="1" ht="33" customHeight="1">
      <c r="A60" s="24" t="s">
        <v>2183</v>
      </c>
      <c r="B60" s="25" t="s">
        <v>2184</v>
      </c>
      <c r="C60" s="25"/>
      <c r="D60" s="25"/>
      <c r="E60" s="26" t="s">
        <v>2185</v>
      </c>
      <c r="F60" s="26"/>
      <c r="G60" s="26"/>
      <c r="H60" s="26"/>
      <c r="I60" s="26"/>
      <c r="J60" s="27" t="s">
        <v>2056</v>
      </c>
      <c r="K60" s="27"/>
      <c r="L60" s="27"/>
      <c r="M60" s="27"/>
      <c r="N60" s="28">
        <f>909</f>
        <v>909</v>
      </c>
      <c r="O60" s="28"/>
      <c r="P60" s="28"/>
      <c r="Q60" s="27" t="s">
        <v>2032</v>
      </c>
      <c r="R60" s="27"/>
      <c r="S60" s="29" t="s">
        <v>2032</v>
      </c>
      <c r="T60" s="29"/>
      <c r="U60" s="29"/>
      <c r="V60" s="29"/>
      <c r="W60" s="30" t="s">
        <v>2032</v>
      </c>
      <c r="X60" s="29" t="s">
        <v>2032</v>
      </c>
      <c r="Y60" s="29"/>
      <c r="Z60" s="29"/>
      <c r="AA60" s="29"/>
      <c r="AB60" s="27" t="s">
        <v>2056</v>
      </c>
      <c r="AC60" s="27"/>
      <c r="AD60" s="27"/>
      <c r="AE60" s="31">
        <f>909</f>
        <v>909</v>
      </c>
      <c r="AF60" s="31"/>
      <c r="AG60" s="31"/>
    </row>
    <row r="61" spans="1:33" s="1" customFormat="1" ht="33" customHeight="1">
      <c r="A61" s="24" t="s">
        <v>2186</v>
      </c>
      <c r="B61" s="25" t="s">
        <v>2187</v>
      </c>
      <c r="C61" s="25"/>
      <c r="D61" s="25"/>
      <c r="E61" s="26" t="s">
        <v>2188</v>
      </c>
      <c r="F61" s="26"/>
      <c r="G61" s="26"/>
      <c r="H61" s="26"/>
      <c r="I61" s="26"/>
      <c r="J61" s="27" t="s">
        <v>2056</v>
      </c>
      <c r="K61" s="27"/>
      <c r="L61" s="27"/>
      <c r="M61" s="27"/>
      <c r="N61" s="28">
        <f>845</f>
        <v>845</v>
      </c>
      <c r="O61" s="28"/>
      <c r="P61" s="28"/>
      <c r="Q61" s="27" t="s">
        <v>2032</v>
      </c>
      <c r="R61" s="27"/>
      <c r="S61" s="29" t="s">
        <v>2032</v>
      </c>
      <c r="T61" s="29"/>
      <c r="U61" s="29"/>
      <c r="V61" s="29"/>
      <c r="W61" s="30" t="s">
        <v>2032</v>
      </c>
      <c r="X61" s="29" t="s">
        <v>2032</v>
      </c>
      <c r="Y61" s="29"/>
      <c r="Z61" s="29"/>
      <c r="AA61" s="29"/>
      <c r="AB61" s="27" t="s">
        <v>2056</v>
      </c>
      <c r="AC61" s="27"/>
      <c r="AD61" s="27"/>
      <c r="AE61" s="31">
        <f>845</f>
        <v>845</v>
      </c>
      <c r="AF61" s="31"/>
      <c r="AG61" s="31"/>
    </row>
    <row r="62" spans="1:33" s="1" customFormat="1" ht="33" customHeight="1">
      <c r="A62" s="24" t="s">
        <v>2189</v>
      </c>
      <c r="B62" s="25" t="s">
        <v>2190</v>
      </c>
      <c r="C62" s="25"/>
      <c r="D62" s="25"/>
      <c r="E62" s="26" t="s">
        <v>2191</v>
      </c>
      <c r="F62" s="26"/>
      <c r="G62" s="26"/>
      <c r="H62" s="26"/>
      <c r="I62" s="26"/>
      <c r="J62" s="27" t="s">
        <v>2056</v>
      </c>
      <c r="K62" s="27"/>
      <c r="L62" s="27"/>
      <c r="M62" s="27"/>
      <c r="N62" s="28">
        <f>170</f>
        <v>170</v>
      </c>
      <c r="O62" s="28"/>
      <c r="P62" s="28"/>
      <c r="Q62" s="27" t="s">
        <v>2032</v>
      </c>
      <c r="R62" s="27"/>
      <c r="S62" s="29" t="s">
        <v>2032</v>
      </c>
      <c r="T62" s="29"/>
      <c r="U62" s="29"/>
      <c r="V62" s="29"/>
      <c r="W62" s="30" t="s">
        <v>2032</v>
      </c>
      <c r="X62" s="29" t="s">
        <v>2032</v>
      </c>
      <c r="Y62" s="29"/>
      <c r="Z62" s="29"/>
      <c r="AA62" s="29"/>
      <c r="AB62" s="27" t="s">
        <v>2056</v>
      </c>
      <c r="AC62" s="27"/>
      <c r="AD62" s="27"/>
      <c r="AE62" s="31">
        <f>170</f>
        <v>170</v>
      </c>
      <c r="AF62" s="31"/>
      <c r="AG62" s="31"/>
    </row>
    <row r="63" spans="1:33" s="1" customFormat="1" ht="46.5" customHeight="1">
      <c r="A63" s="24" t="s">
        <v>2192</v>
      </c>
      <c r="B63" s="25" t="s">
        <v>2193</v>
      </c>
      <c r="C63" s="25"/>
      <c r="D63" s="25"/>
      <c r="E63" s="26" t="s">
        <v>2194</v>
      </c>
      <c r="F63" s="26"/>
      <c r="G63" s="26"/>
      <c r="H63" s="26"/>
      <c r="I63" s="26"/>
      <c r="J63" s="27" t="s">
        <v>2057</v>
      </c>
      <c r="K63" s="27"/>
      <c r="L63" s="27"/>
      <c r="M63" s="27"/>
      <c r="N63" s="28">
        <f>340</f>
        <v>340</v>
      </c>
      <c r="O63" s="28"/>
      <c r="P63" s="28"/>
      <c r="Q63" s="27" t="s">
        <v>2032</v>
      </c>
      <c r="R63" s="27"/>
      <c r="S63" s="29" t="s">
        <v>2032</v>
      </c>
      <c r="T63" s="29"/>
      <c r="U63" s="29"/>
      <c r="V63" s="29"/>
      <c r="W63" s="30" t="s">
        <v>2032</v>
      </c>
      <c r="X63" s="29" t="s">
        <v>2032</v>
      </c>
      <c r="Y63" s="29"/>
      <c r="Z63" s="29"/>
      <c r="AA63" s="29"/>
      <c r="AB63" s="27" t="s">
        <v>2057</v>
      </c>
      <c r="AC63" s="27"/>
      <c r="AD63" s="27"/>
      <c r="AE63" s="31">
        <f>340</f>
        <v>340</v>
      </c>
      <c r="AF63" s="31"/>
      <c r="AG63" s="31"/>
    </row>
    <row r="64" spans="1:33" s="1" customFormat="1" ht="33" customHeight="1">
      <c r="A64" s="24" t="s">
        <v>2195</v>
      </c>
      <c r="B64" s="25" t="s">
        <v>2196</v>
      </c>
      <c r="C64" s="25"/>
      <c r="D64" s="25"/>
      <c r="E64" s="26" t="s">
        <v>2197</v>
      </c>
      <c r="F64" s="26"/>
      <c r="G64" s="26"/>
      <c r="H64" s="26"/>
      <c r="I64" s="26"/>
      <c r="J64" s="27" t="s">
        <v>2056</v>
      </c>
      <c r="K64" s="27"/>
      <c r="L64" s="27"/>
      <c r="M64" s="27"/>
      <c r="N64" s="28">
        <f>170</f>
        <v>170</v>
      </c>
      <c r="O64" s="28"/>
      <c r="P64" s="28"/>
      <c r="Q64" s="27" t="s">
        <v>2032</v>
      </c>
      <c r="R64" s="27"/>
      <c r="S64" s="29" t="s">
        <v>2032</v>
      </c>
      <c r="T64" s="29"/>
      <c r="U64" s="29"/>
      <c r="V64" s="29"/>
      <c r="W64" s="30" t="s">
        <v>2032</v>
      </c>
      <c r="X64" s="29" t="s">
        <v>2032</v>
      </c>
      <c r="Y64" s="29"/>
      <c r="Z64" s="29"/>
      <c r="AA64" s="29"/>
      <c r="AB64" s="27" t="s">
        <v>2056</v>
      </c>
      <c r="AC64" s="27"/>
      <c r="AD64" s="27"/>
      <c r="AE64" s="31">
        <f>170</f>
        <v>170</v>
      </c>
      <c r="AF64" s="31"/>
      <c r="AG64" s="31"/>
    </row>
    <row r="65" spans="1:33" s="1" customFormat="1" ht="33" customHeight="1">
      <c r="A65" s="24" t="s">
        <v>2198</v>
      </c>
      <c r="B65" s="25" t="s">
        <v>2199</v>
      </c>
      <c r="C65" s="25"/>
      <c r="D65" s="25"/>
      <c r="E65" s="26" t="s">
        <v>2200</v>
      </c>
      <c r="F65" s="26"/>
      <c r="G65" s="26"/>
      <c r="H65" s="26"/>
      <c r="I65" s="26"/>
      <c r="J65" s="27" t="s">
        <v>2056</v>
      </c>
      <c r="K65" s="27"/>
      <c r="L65" s="27"/>
      <c r="M65" s="27"/>
      <c r="N65" s="28">
        <f>2652</f>
        <v>2652</v>
      </c>
      <c r="O65" s="28"/>
      <c r="P65" s="28"/>
      <c r="Q65" s="27" t="s">
        <v>2032</v>
      </c>
      <c r="R65" s="27"/>
      <c r="S65" s="29" t="s">
        <v>2032</v>
      </c>
      <c r="T65" s="29"/>
      <c r="U65" s="29"/>
      <c r="V65" s="29"/>
      <c r="W65" s="30" t="s">
        <v>2032</v>
      </c>
      <c r="X65" s="29" t="s">
        <v>2032</v>
      </c>
      <c r="Y65" s="29"/>
      <c r="Z65" s="29"/>
      <c r="AA65" s="29"/>
      <c r="AB65" s="27" t="s">
        <v>2056</v>
      </c>
      <c r="AC65" s="27"/>
      <c r="AD65" s="27"/>
      <c r="AE65" s="31">
        <f>2652</f>
        <v>2652</v>
      </c>
      <c r="AF65" s="31"/>
      <c r="AG65" s="31"/>
    </row>
    <row r="66" spans="1:33" s="1" customFormat="1" ht="33" customHeight="1">
      <c r="A66" s="24" t="s">
        <v>2201</v>
      </c>
      <c r="B66" s="25" t="s">
        <v>2202</v>
      </c>
      <c r="C66" s="25"/>
      <c r="D66" s="25"/>
      <c r="E66" s="26" t="s">
        <v>2203</v>
      </c>
      <c r="F66" s="26"/>
      <c r="G66" s="26"/>
      <c r="H66" s="26"/>
      <c r="I66" s="26"/>
      <c r="J66" s="27" t="s">
        <v>2056</v>
      </c>
      <c r="K66" s="27"/>
      <c r="L66" s="27"/>
      <c r="M66" s="27"/>
      <c r="N66" s="28">
        <f>170</f>
        <v>170</v>
      </c>
      <c r="O66" s="28"/>
      <c r="P66" s="28"/>
      <c r="Q66" s="27" t="s">
        <v>2032</v>
      </c>
      <c r="R66" s="27"/>
      <c r="S66" s="29" t="s">
        <v>2032</v>
      </c>
      <c r="T66" s="29"/>
      <c r="U66" s="29"/>
      <c r="V66" s="29"/>
      <c r="W66" s="30" t="s">
        <v>2032</v>
      </c>
      <c r="X66" s="29" t="s">
        <v>2032</v>
      </c>
      <c r="Y66" s="29"/>
      <c r="Z66" s="29"/>
      <c r="AA66" s="29"/>
      <c r="AB66" s="27" t="s">
        <v>2056</v>
      </c>
      <c r="AC66" s="27"/>
      <c r="AD66" s="27"/>
      <c r="AE66" s="31">
        <f>170</f>
        <v>170</v>
      </c>
      <c r="AF66" s="31"/>
      <c r="AG66" s="31"/>
    </row>
    <row r="67" spans="1:33" s="1" customFormat="1" ht="33" customHeight="1">
      <c r="A67" s="24" t="s">
        <v>2204</v>
      </c>
      <c r="B67" s="25" t="s">
        <v>2205</v>
      </c>
      <c r="C67" s="25"/>
      <c r="D67" s="25"/>
      <c r="E67" s="26" t="s">
        <v>2206</v>
      </c>
      <c r="F67" s="26"/>
      <c r="G67" s="26"/>
      <c r="H67" s="26"/>
      <c r="I67" s="26"/>
      <c r="J67" s="27" t="s">
        <v>2056</v>
      </c>
      <c r="K67" s="27"/>
      <c r="L67" s="27"/>
      <c r="M67" s="27"/>
      <c r="N67" s="28">
        <f>377</f>
        <v>377</v>
      </c>
      <c r="O67" s="28"/>
      <c r="P67" s="28"/>
      <c r="Q67" s="27" t="s">
        <v>2032</v>
      </c>
      <c r="R67" s="27"/>
      <c r="S67" s="29" t="s">
        <v>2032</v>
      </c>
      <c r="T67" s="29"/>
      <c r="U67" s="29"/>
      <c r="V67" s="29"/>
      <c r="W67" s="30" t="s">
        <v>2032</v>
      </c>
      <c r="X67" s="29" t="s">
        <v>2032</v>
      </c>
      <c r="Y67" s="29"/>
      <c r="Z67" s="29"/>
      <c r="AA67" s="29"/>
      <c r="AB67" s="27" t="s">
        <v>2056</v>
      </c>
      <c r="AC67" s="27"/>
      <c r="AD67" s="27"/>
      <c r="AE67" s="31">
        <f>377</f>
        <v>377</v>
      </c>
      <c r="AF67" s="31"/>
      <c r="AG67" s="31"/>
    </row>
    <row r="68" spans="1:33" s="1" customFormat="1" ht="33" customHeight="1">
      <c r="A68" s="24" t="s">
        <v>2207</v>
      </c>
      <c r="B68" s="25" t="s">
        <v>2208</v>
      </c>
      <c r="C68" s="25"/>
      <c r="D68" s="25"/>
      <c r="E68" s="26" t="s">
        <v>2209</v>
      </c>
      <c r="F68" s="26"/>
      <c r="G68" s="26"/>
      <c r="H68" s="26"/>
      <c r="I68" s="26"/>
      <c r="J68" s="27" t="s">
        <v>2057</v>
      </c>
      <c r="K68" s="27"/>
      <c r="L68" s="27"/>
      <c r="M68" s="27"/>
      <c r="N68" s="28">
        <f>1820</f>
        <v>1820</v>
      </c>
      <c r="O68" s="28"/>
      <c r="P68" s="28"/>
      <c r="Q68" s="27" t="s">
        <v>2032</v>
      </c>
      <c r="R68" s="27"/>
      <c r="S68" s="29" t="s">
        <v>2032</v>
      </c>
      <c r="T68" s="29"/>
      <c r="U68" s="29"/>
      <c r="V68" s="29"/>
      <c r="W68" s="30" t="s">
        <v>2032</v>
      </c>
      <c r="X68" s="29" t="s">
        <v>2032</v>
      </c>
      <c r="Y68" s="29"/>
      <c r="Z68" s="29"/>
      <c r="AA68" s="29"/>
      <c r="AB68" s="27" t="s">
        <v>2057</v>
      </c>
      <c r="AC68" s="27"/>
      <c r="AD68" s="27"/>
      <c r="AE68" s="31">
        <f>1820</f>
        <v>1820</v>
      </c>
      <c r="AF68" s="31"/>
      <c r="AG68" s="31"/>
    </row>
    <row r="69" spans="1:33" s="1" customFormat="1" ht="33" customHeight="1">
      <c r="A69" s="24" t="s">
        <v>2210</v>
      </c>
      <c r="B69" s="25" t="s">
        <v>2211</v>
      </c>
      <c r="C69" s="25"/>
      <c r="D69" s="25"/>
      <c r="E69" s="26" t="s">
        <v>2212</v>
      </c>
      <c r="F69" s="26"/>
      <c r="G69" s="26"/>
      <c r="H69" s="26"/>
      <c r="I69" s="26"/>
      <c r="J69" s="27" t="s">
        <v>2056</v>
      </c>
      <c r="K69" s="27"/>
      <c r="L69" s="27"/>
      <c r="M69" s="27"/>
      <c r="N69" s="28">
        <f>2288</f>
        <v>2288</v>
      </c>
      <c r="O69" s="28"/>
      <c r="P69" s="28"/>
      <c r="Q69" s="27" t="s">
        <v>2032</v>
      </c>
      <c r="R69" s="27"/>
      <c r="S69" s="29" t="s">
        <v>2032</v>
      </c>
      <c r="T69" s="29"/>
      <c r="U69" s="29"/>
      <c r="V69" s="29"/>
      <c r="W69" s="30" t="s">
        <v>2032</v>
      </c>
      <c r="X69" s="29" t="s">
        <v>2032</v>
      </c>
      <c r="Y69" s="29"/>
      <c r="Z69" s="29"/>
      <c r="AA69" s="29"/>
      <c r="AB69" s="27" t="s">
        <v>2056</v>
      </c>
      <c r="AC69" s="27"/>
      <c r="AD69" s="27"/>
      <c r="AE69" s="31">
        <f>2288</f>
        <v>2288</v>
      </c>
      <c r="AF69" s="31"/>
      <c r="AG69" s="31"/>
    </row>
    <row r="70" spans="1:33" s="1" customFormat="1" ht="33" customHeight="1">
      <c r="A70" s="24" t="s">
        <v>2213</v>
      </c>
      <c r="B70" s="25" t="s">
        <v>2214</v>
      </c>
      <c r="C70" s="25"/>
      <c r="D70" s="25"/>
      <c r="E70" s="26" t="s">
        <v>2215</v>
      </c>
      <c r="F70" s="26"/>
      <c r="G70" s="26"/>
      <c r="H70" s="26"/>
      <c r="I70" s="26"/>
      <c r="J70" s="27" t="s">
        <v>2056</v>
      </c>
      <c r="K70" s="27"/>
      <c r="L70" s="27"/>
      <c r="M70" s="27"/>
      <c r="N70" s="28">
        <f>170</f>
        <v>170</v>
      </c>
      <c r="O70" s="28"/>
      <c r="P70" s="28"/>
      <c r="Q70" s="27" t="s">
        <v>2032</v>
      </c>
      <c r="R70" s="27"/>
      <c r="S70" s="29" t="s">
        <v>2032</v>
      </c>
      <c r="T70" s="29"/>
      <c r="U70" s="29"/>
      <c r="V70" s="29"/>
      <c r="W70" s="30" t="s">
        <v>2032</v>
      </c>
      <c r="X70" s="29" t="s">
        <v>2032</v>
      </c>
      <c r="Y70" s="29"/>
      <c r="Z70" s="29"/>
      <c r="AA70" s="29"/>
      <c r="AB70" s="27" t="s">
        <v>2056</v>
      </c>
      <c r="AC70" s="27"/>
      <c r="AD70" s="27"/>
      <c r="AE70" s="31">
        <f>170</f>
        <v>170</v>
      </c>
      <c r="AF70" s="31"/>
      <c r="AG70" s="31"/>
    </row>
    <row r="71" spans="1:33" s="1" customFormat="1" ht="33" customHeight="1">
      <c r="A71" s="24" t="s">
        <v>2216</v>
      </c>
      <c r="B71" s="25" t="s">
        <v>2217</v>
      </c>
      <c r="C71" s="25"/>
      <c r="D71" s="25"/>
      <c r="E71" s="26" t="s">
        <v>2218</v>
      </c>
      <c r="F71" s="26"/>
      <c r="G71" s="26"/>
      <c r="H71" s="26"/>
      <c r="I71" s="26"/>
      <c r="J71" s="27" t="s">
        <v>2056</v>
      </c>
      <c r="K71" s="27"/>
      <c r="L71" s="27"/>
      <c r="M71" s="27"/>
      <c r="N71" s="28">
        <f>97</f>
        <v>97</v>
      </c>
      <c r="O71" s="28"/>
      <c r="P71" s="28"/>
      <c r="Q71" s="27" t="s">
        <v>2032</v>
      </c>
      <c r="R71" s="27"/>
      <c r="S71" s="29" t="s">
        <v>2032</v>
      </c>
      <c r="T71" s="29"/>
      <c r="U71" s="29"/>
      <c r="V71" s="29"/>
      <c r="W71" s="30" t="s">
        <v>2032</v>
      </c>
      <c r="X71" s="29" t="s">
        <v>2032</v>
      </c>
      <c r="Y71" s="29"/>
      <c r="Z71" s="29"/>
      <c r="AA71" s="29"/>
      <c r="AB71" s="27" t="s">
        <v>2056</v>
      </c>
      <c r="AC71" s="27"/>
      <c r="AD71" s="27"/>
      <c r="AE71" s="31">
        <f>97</f>
        <v>97</v>
      </c>
      <c r="AF71" s="31"/>
      <c r="AG71" s="31"/>
    </row>
    <row r="72" spans="1:33" s="1" customFormat="1" ht="33" customHeight="1">
      <c r="A72" s="24" t="s">
        <v>2219</v>
      </c>
      <c r="B72" s="25" t="s">
        <v>2220</v>
      </c>
      <c r="C72" s="25"/>
      <c r="D72" s="25"/>
      <c r="E72" s="26" t="s">
        <v>2221</v>
      </c>
      <c r="F72" s="26"/>
      <c r="G72" s="26"/>
      <c r="H72" s="26"/>
      <c r="I72" s="26"/>
      <c r="J72" s="27" t="s">
        <v>2056</v>
      </c>
      <c r="K72" s="27"/>
      <c r="L72" s="27"/>
      <c r="M72" s="27"/>
      <c r="N72" s="28">
        <f>145</f>
        <v>145</v>
      </c>
      <c r="O72" s="28"/>
      <c r="P72" s="28"/>
      <c r="Q72" s="27" t="s">
        <v>2032</v>
      </c>
      <c r="R72" s="27"/>
      <c r="S72" s="29" t="s">
        <v>2032</v>
      </c>
      <c r="T72" s="29"/>
      <c r="U72" s="29"/>
      <c r="V72" s="29"/>
      <c r="W72" s="30" t="s">
        <v>2032</v>
      </c>
      <c r="X72" s="29" t="s">
        <v>2032</v>
      </c>
      <c r="Y72" s="29"/>
      <c r="Z72" s="29"/>
      <c r="AA72" s="29"/>
      <c r="AB72" s="27" t="s">
        <v>2056</v>
      </c>
      <c r="AC72" s="27"/>
      <c r="AD72" s="27"/>
      <c r="AE72" s="31">
        <f>145</f>
        <v>145</v>
      </c>
      <c r="AF72" s="31"/>
      <c r="AG72" s="31"/>
    </row>
    <row r="73" spans="1:33" s="1" customFormat="1" ht="33" customHeight="1">
      <c r="A73" s="24" t="s">
        <v>2222</v>
      </c>
      <c r="B73" s="25" t="s">
        <v>2223</v>
      </c>
      <c r="C73" s="25"/>
      <c r="D73" s="25"/>
      <c r="E73" s="26" t="s">
        <v>2224</v>
      </c>
      <c r="F73" s="26"/>
      <c r="G73" s="26"/>
      <c r="H73" s="26"/>
      <c r="I73" s="26"/>
      <c r="J73" s="27" t="s">
        <v>2056</v>
      </c>
      <c r="K73" s="27"/>
      <c r="L73" s="27"/>
      <c r="M73" s="27"/>
      <c r="N73" s="28">
        <f aca="true" t="shared" si="2" ref="N73:N82">2448</f>
        <v>2448</v>
      </c>
      <c r="O73" s="28"/>
      <c r="P73" s="28"/>
      <c r="Q73" s="27" t="s">
        <v>2032</v>
      </c>
      <c r="R73" s="27"/>
      <c r="S73" s="29" t="s">
        <v>2032</v>
      </c>
      <c r="T73" s="29"/>
      <c r="U73" s="29"/>
      <c r="V73" s="29"/>
      <c r="W73" s="30" t="s">
        <v>2032</v>
      </c>
      <c r="X73" s="29" t="s">
        <v>2032</v>
      </c>
      <c r="Y73" s="29"/>
      <c r="Z73" s="29"/>
      <c r="AA73" s="29"/>
      <c r="AB73" s="27" t="s">
        <v>2056</v>
      </c>
      <c r="AC73" s="27"/>
      <c r="AD73" s="27"/>
      <c r="AE73" s="31">
        <f aca="true" t="shared" si="3" ref="AE73:AE82">2448</f>
        <v>2448</v>
      </c>
      <c r="AF73" s="31"/>
      <c r="AG73" s="31"/>
    </row>
    <row r="74" spans="1:33" s="1" customFormat="1" ht="33" customHeight="1">
      <c r="A74" s="24" t="s">
        <v>2225</v>
      </c>
      <c r="B74" s="25" t="s">
        <v>2226</v>
      </c>
      <c r="C74" s="25"/>
      <c r="D74" s="25"/>
      <c r="E74" s="26" t="s">
        <v>2224</v>
      </c>
      <c r="F74" s="26"/>
      <c r="G74" s="26"/>
      <c r="H74" s="26"/>
      <c r="I74" s="26"/>
      <c r="J74" s="27" t="s">
        <v>2056</v>
      </c>
      <c r="K74" s="27"/>
      <c r="L74" s="27"/>
      <c r="M74" s="27"/>
      <c r="N74" s="28">
        <f t="shared" si="2"/>
        <v>2448</v>
      </c>
      <c r="O74" s="28"/>
      <c r="P74" s="28"/>
      <c r="Q74" s="27" t="s">
        <v>2032</v>
      </c>
      <c r="R74" s="27"/>
      <c r="S74" s="29" t="s">
        <v>2032</v>
      </c>
      <c r="T74" s="29"/>
      <c r="U74" s="29"/>
      <c r="V74" s="29"/>
      <c r="W74" s="30" t="s">
        <v>2032</v>
      </c>
      <c r="X74" s="29" t="s">
        <v>2032</v>
      </c>
      <c r="Y74" s="29"/>
      <c r="Z74" s="29"/>
      <c r="AA74" s="29"/>
      <c r="AB74" s="27" t="s">
        <v>2056</v>
      </c>
      <c r="AC74" s="27"/>
      <c r="AD74" s="27"/>
      <c r="AE74" s="31">
        <f t="shared" si="3"/>
        <v>2448</v>
      </c>
      <c r="AF74" s="31"/>
      <c r="AG74" s="31"/>
    </row>
    <row r="75" spans="1:33" s="1" customFormat="1" ht="33" customHeight="1">
      <c r="A75" s="24" t="s">
        <v>2227</v>
      </c>
      <c r="B75" s="25" t="s">
        <v>2228</v>
      </c>
      <c r="C75" s="25"/>
      <c r="D75" s="25"/>
      <c r="E75" s="26" t="s">
        <v>2224</v>
      </c>
      <c r="F75" s="26"/>
      <c r="G75" s="26"/>
      <c r="H75" s="26"/>
      <c r="I75" s="26"/>
      <c r="J75" s="27" t="s">
        <v>2056</v>
      </c>
      <c r="K75" s="27"/>
      <c r="L75" s="27"/>
      <c r="M75" s="27"/>
      <c r="N75" s="28">
        <f t="shared" si="2"/>
        <v>2448</v>
      </c>
      <c r="O75" s="28"/>
      <c r="P75" s="28"/>
      <c r="Q75" s="27" t="s">
        <v>2032</v>
      </c>
      <c r="R75" s="27"/>
      <c r="S75" s="29" t="s">
        <v>2032</v>
      </c>
      <c r="T75" s="29"/>
      <c r="U75" s="29"/>
      <c r="V75" s="29"/>
      <c r="W75" s="30" t="s">
        <v>2032</v>
      </c>
      <c r="X75" s="29" t="s">
        <v>2032</v>
      </c>
      <c r="Y75" s="29"/>
      <c r="Z75" s="29"/>
      <c r="AA75" s="29"/>
      <c r="AB75" s="27" t="s">
        <v>2056</v>
      </c>
      <c r="AC75" s="27"/>
      <c r="AD75" s="27"/>
      <c r="AE75" s="31">
        <f t="shared" si="3"/>
        <v>2448</v>
      </c>
      <c r="AF75" s="31"/>
      <c r="AG75" s="31"/>
    </row>
    <row r="76" spans="1:33" s="1" customFormat="1" ht="33" customHeight="1">
      <c r="A76" s="24" t="s">
        <v>2229</v>
      </c>
      <c r="B76" s="25" t="s">
        <v>2230</v>
      </c>
      <c r="C76" s="25"/>
      <c r="D76" s="25"/>
      <c r="E76" s="26" t="s">
        <v>2224</v>
      </c>
      <c r="F76" s="26"/>
      <c r="G76" s="26"/>
      <c r="H76" s="26"/>
      <c r="I76" s="26"/>
      <c r="J76" s="27" t="s">
        <v>2056</v>
      </c>
      <c r="K76" s="27"/>
      <c r="L76" s="27"/>
      <c r="M76" s="27"/>
      <c r="N76" s="28">
        <f t="shared" si="2"/>
        <v>2448</v>
      </c>
      <c r="O76" s="28"/>
      <c r="P76" s="28"/>
      <c r="Q76" s="27" t="s">
        <v>2032</v>
      </c>
      <c r="R76" s="27"/>
      <c r="S76" s="29" t="s">
        <v>2032</v>
      </c>
      <c r="T76" s="29"/>
      <c r="U76" s="29"/>
      <c r="V76" s="29"/>
      <c r="W76" s="30" t="s">
        <v>2032</v>
      </c>
      <c r="X76" s="29" t="s">
        <v>2032</v>
      </c>
      <c r="Y76" s="29"/>
      <c r="Z76" s="29"/>
      <c r="AA76" s="29"/>
      <c r="AB76" s="27" t="s">
        <v>2056</v>
      </c>
      <c r="AC76" s="27"/>
      <c r="AD76" s="27"/>
      <c r="AE76" s="31">
        <f t="shared" si="3"/>
        <v>2448</v>
      </c>
      <c r="AF76" s="31"/>
      <c r="AG76" s="31"/>
    </row>
    <row r="77" spans="1:33" s="1" customFormat="1" ht="33" customHeight="1">
      <c r="A77" s="24" t="s">
        <v>2231</v>
      </c>
      <c r="B77" s="25" t="s">
        <v>2232</v>
      </c>
      <c r="C77" s="25"/>
      <c r="D77" s="25"/>
      <c r="E77" s="26" t="s">
        <v>2224</v>
      </c>
      <c r="F77" s="26"/>
      <c r="G77" s="26"/>
      <c r="H77" s="26"/>
      <c r="I77" s="26"/>
      <c r="J77" s="27" t="s">
        <v>2056</v>
      </c>
      <c r="K77" s="27"/>
      <c r="L77" s="27"/>
      <c r="M77" s="27"/>
      <c r="N77" s="28">
        <f t="shared" si="2"/>
        <v>2448</v>
      </c>
      <c r="O77" s="28"/>
      <c r="P77" s="28"/>
      <c r="Q77" s="27" t="s">
        <v>2032</v>
      </c>
      <c r="R77" s="27"/>
      <c r="S77" s="29" t="s">
        <v>2032</v>
      </c>
      <c r="T77" s="29"/>
      <c r="U77" s="29"/>
      <c r="V77" s="29"/>
      <c r="W77" s="30" t="s">
        <v>2032</v>
      </c>
      <c r="X77" s="29" t="s">
        <v>2032</v>
      </c>
      <c r="Y77" s="29"/>
      <c r="Z77" s="29"/>
      <c r="AA77" s="29"/>
      <c r="AB77" s="27" t="s">
        <v>2056</v>
      </c>
      <c r="AC77" s="27"/>
      <c r="AD77" s="27"/>
      <c r="AE77" s="31">
        <f t="shared" si="3"/>
        <v>2448</v>
      </c>
      <c r="AF77" s="31"/>
      <c r="AG77" s="31"/>
    </row>
    <row r="78" spans="1:33" s="1" customFormat="1" ht="33" customHeight="1">
      <c r="A78" s="24" t="s">
        <v>2233</v>
      </c>
      <c r="B78" s="25" t="s">
        <v>2234</v>
      </c>
      <c r="C78" s="25"/>
      <c r="D78" s="25"/>
      <c r="E78" s="26" t="s">
        <v>2224</v>
      </c>
      <c r="F78" s="26"/>
      <c r="G78" s="26"/>
      <c r="H78" s="26"/>
      <c r="I78" s="26"/>
      <c r="J78" s="27" t="s">
        <v>2056</v>
      </c>
      <c r="K78" s="27"/>
      <c r="L78" s="27"/>
      <c r="M78" s="27"/>
      <c r="N78" s="28">
        <f t="shared" si="2"/>
        <v>2448</v>
      </c>
      <c r="O78" s="28"/>
      <c r="P78" s="28"/>
      <c r="Q78" s="27" t="s">
        <v>2032</v>
      </c>
      <c r="R78" s="27"/>
      <c r="S78" s="29" t="s">
        <v>2032</v>
      </c>
      <c r="T78" s="29"/>
      <c r="U78" s="29"/>
      <c r="V78" s="29"/>
      <c r="W78" s="30" t="s">
        <v>2032</v>
      </c>
      <c r="X78" s="29" t="s">
        <v>2032</v>
      </c>
      <c r="Y78" s="29"/>
      <c r="Z78" s="29"/>
      <c r="AA78" s="29"/>
      <c r="AB78" s="27" t="s">
        <v>2056</v>
      </c>
      <c r="AC78" s="27"/>
      <c r="AD78" s="27"/>
      <c r="AE78" s="31">
        <f t="shared" si="3"/>
        <v>2448</v>
      </c>
      <c r="AF78" s="31"/>
      <c r="AG78" s="31"/>
    </row>
    <row r="79" spans="1:33" s="1" customFormat="1" ht="33" customHeight="1">
      <c r="A79" s="24" t="s">
        <v>2235</v>
      </c>
      <c r="B79" s="25" t="s">
        <v>2236</v>
      </c>
      <c r="C79" s="25"/>
      <c r="D79" s="25"/>
      <c r="E79" s="26" t="s">
        <v>2224</v>
      </c>
      <c r="F79" s="26"/>
      <c r="G79" s="26"/>
      <c r="H79" s="26"/>
      <c r="I79" s="26"/>
      <c r="J79" s="27" t="s">
        <v>2056</v>
      </c>
      <c r="K79" s="27"/>
      <c r="L79" s="27"/>
      <c r="M79" s="27"/>
      <c r="N79" s="28">
        <f t="shared" si="2"/>
        <v>2448</v>
      </c>
      <c r="O79" s="28"/>
      <c r="P79" s="28"/>
      <c r="Q79" s="27" t="s">
        <v>2032</v>
      </c>
      <c r="R79" s="27"/>
      <c r="S79" s="29" t="s">
        <v>2032</v>
      </c>
      <c r="T79" s="29"/>
      <c r="U79" s="29"/>
      <c r="V79" s="29"/>
      <c r="W79" s="30" t="s">
        <v>2032</v>
      </c>
      <c r="X79" s="29" t="s">
        <v>2032</v>
      </c>
      <c r="Y79" s="29"/>
      <c r="Z79" s="29"/>
      <c r="AA79" s="29"/>
      <c r="AB79" s="27" t="s">
        <v>2056</v>
      </c>
      <c r="AC79" s="27"/>
      <c r="AD79" s="27"/>
      <c r="AE79" s="31">
        <f t="shared" si="3"/>
        <v>2448</v>
      </c>
      <c r="AF79" s="31"/>
      <c r="AG79" s="31"/>
    </row>
    <row r="80" spans="1:33" s="1" customFormat="1" ht="33" customHeight="1">
      <c r="A80" s="24" t="s">
        <v>2237</v>
      </c>
      <c r="B80" s="25" t="s">
        <v>2238</v>
      </c>
      <c r="C80" s="25"/>
      <c r="D80" s="25"/>
      <c r="E80" s="26" t="s">
        <v>2224</v>
      </c>
      <c r="F80" s="26"/>
      <c r="G80" s="26"/>
      <c r="H80" s="26"/>
      <c r="I80" s="26"/>
      <c r="J80" s="27" t="s">
        <v>2056</v>
      </c>
      <c r="K80" s="27"/>
      <c r="L80" s="27"/>
      <c r="M80" s="27"/>
      <c r="N80" s="28">
        <f t="shared" si="2"/>
        <v>2448</v>
      </c>
      <c r="O80" s="28"/>
      <c r="P80" s="28"/>
      <c r="Q80" s="27" t="s">
        <v>2032</v>
      </c>
      <c r="R80" s="27"/>
      <c r="S80" s="29" t="s">
        <v>2032</v>
      </c>
      <c r="T80" s="29"/>
      <c r="U80" s="29"/>
      <c r="V80" s="29"/>
      <c r="W80" s="30" t="s">
        <v>2032</v>
      </c>
      <c r="X80" s="29" t="s">
        <v>2032</v>
      </c>
      <c r="Y80" s="29"/>
      <c r="Z80" s="29"/>
      <c r="AA80" s="29"/>
      <c r="AB80" s="27" t="s">
        <v>2056</v>
      </c>
      <c r="AC80" s="27"/>
      <c r="AD80" s="27"/>
      <c r="AE80" s="31">
        <f t="shared" si="3"/>
        <v>2448</v>
      </c>
      <c r="AF80" s="31"/>
      <c r="AG80" s="31"/>
    </row>
    <row r="81" spans="1:33" s="1" customFormat="1" ht="33" customHeight="1">
      <c r="A81" s="24" t="s">
        <v>2239</v>
      </c>
      <c r="B81" s="25" t="s">
        <v>2240</v>
      </c>
      <c r="C81" s="25"/>
      <c r="D81" s="25"/>
      <c r="E81" s="26" t="s">
        <v>2224</v>
      </c>
      <c r="F81" s="26"/>
      <c r="G81" s="26"/>
      <c r="H81" s="26"/>
      <c r="I81" s="26"/>
      <c r="J81" s="27" t="s">
        <v>2056</v>
      </c>
      <c r="K81" s="27"/>
      <c r="L81" s="27"/>
      <c r="M81" s="27"/>
      <c r="N81" s="28">
        <f t="shared" si="2"/>
        <v>2448</v>
      </c>
      <c r="O81" s="28"/>
      <c r="P81" s="28"/>
      <c r="Q81" s="27" t="s">
        <v>2032</v>
      </c>
      <c r="R81" s="27"/>
      <c r="S81" s="29" t="s">
        <v>2032</v>
      </c>
      <c r="T81" s="29"/>
      <c r="U81" s="29"/>
      <c r="V81" s="29"/>
      <c r="W81" s="30" t="s">
        <v>2032</v>
      </c>
      <c r="X81" s="29" t="s">
        <v>2032</v>
      </c>
      <c r="Y81" s="29"/>
      <c r="Z81" s="29"/>
      <c r="AA81" s="29"/>
      <c r="AB81" s="27" t="s">
        <v>2056</v>
      </c>
      <c r="AC81" s="27"/>
      <c r="AD81" s="27"/>
      <c r="AE81" s="31">
        <f t="shared" si="3"/>
        <v>2448</v>
      </c>
      <c r="AF81" s="31"/>
      <c r="AG81" s="31"/>
    </row>
    <row r="82" spans="1:33" s="1" customFormat="1" ht="33" customHeight="1">
      <c r="A82" s="24" t="s">
        <v>2241</v>
      </c>
      <c r="B82" s="25" t="s">
        <v>2242</v>
      </c>
      <c r="C82" s="25"/>
      <c r="D82" s="25"/>
      <c r="E82" s="26" t="s">
        <v>2224</v>
      </c>
      <c r="F82" s="26"/>
      <c r="G82" s="26"/>
      <c r="H82" s="26"/>
      <c r="I82" s="26"/>
      <c r="J82" s="27" t="s">
        <v>2056</v>
      </c>
      <c r="K82" s="27"/>
      <c r="L82" s="27"/>
      <c r="M82" s="27"/>
      <c r="N82" s="28">
        <f t="shared" si="2"/>
        <v>2448</v>
      </c>
      <c r="O82" s="28"/>
      <c r="P82" s="28"/>
      <c r="Q82" s="27" t="s">
        <v>2032</v>
      </c>
      <c r="R82" s="27"/>
      <c r="S82" s="29" t="s">
        <v>2032</v>
      </c>
      <c r="T82" s="29"/>
      <c r="U82" s="29"/>
      <c r="V82" s="29"/>
      <c r="W82" s="30" t="s">
        <v>2032</v>
      </c>
      <c r="X82" s="29" t="s">
        <v>2032</v>
      </c>
      <c r="Y82" s="29"/>
      <c r="Z82" s="29"/>
      <c r="AA82" s="29"/>
      <c r="AB82" s="27" t="s">
        <v>2056</v>
      </c>
      <c r="AC82" s="27"/>
      <c r="AD82" s="27"/>
      <c r="AE82" s="31">
        <f t="shared" si="3"/>
        <v>2448</v>
      </c>
      <c r="AF82" s="31"/>
      <c r="AG82" s="31"/>
    </row>
    <row r="83" spans="1:33" s="1" customFormat="1" ht="33" customHeight="1">
      <c r="A83" s="24" t="s">
        <v>2243</v>
      </c>
      <c r="B83" s="25" t="s">
        <v>2244</v>
      </c>
      <c r="C83" s="25"/>
      <c r="D83" s="25"/>
      <c r="E83" s="26" t="s">
        <v>2245</v>
      </c>
      <c r="F83" s="26"/>
      <c r="G83" s="26"/>
      <c r="H83" s="26"/>
      <c r="I83" s="26"/>
      <c r="J83" s="27" t="s">
        <v>2056</v>
      </c>
      <c r="K83" s="27"/>
      <c r="L83" s="27"/>
      <c r="M83" s="27"/>
      <c r="N83" s="28">
        <f aca="true" t="shared" si="4" ref="N83:N95">1881</f>
        <v>1881</v>
      </c>
      <c r="O83" s="28"/>
      <c r="P83" s="28"/>
      <c r="Q83" s="27" t="s">
        <v>2032</v>
      </c>
      <c r="R83" s="27"/>
      <c r="S83" s="29" t="s">
        <v>2032</v>
      </c>
      <c r="T83" s="29"/>
      <c r="U83" s="29"/>
      <c r="V83" s="29"/>
      <c r="W83" s="30" t="s">
        <v>2032</v>
      </c>
      <c r="X83" s="29" t="s">
        <v>2032</v>
      </c>
      <c r="Y83" s="29"/>
      <c r="Z83" s="29"/>
      <c r="AA83" s="29"/>
      <c r="AB83" s="27" t="s">
        <v>2056</v>
      </c>
      <c r="AC83" s="27"/>
      <c r="AD83" s="27"/>
      <c r="AE83" s="31">
        <f aca="true" t="shared" si="5" ref="AE83:AE95">1881</f>
        <v>1881</v>
      </c>
      <c r="AF83" s="31"/>
      <c r="AG83" s="31"/>
    </row>
    <row r="84" spans="1:33" s="1" customFormat="1" ht="33" customHeight="1">
      <c r="A84" s="24" t="s">
        <v>2246</v>
      </c>
      <c r="B84" s="25" t="s">
        <v>2247</v>
      </c>
      <c r="C84" s="25"/>
      <c r="D84" s="25"/>
      <c r="E84" s="26" t="s">
        <v>2245</v>
      </c>
      <c r="F84" s="26"/>
      <c r="G84" s="26"/>
      <c r="H84" s="26"/>
      <c r="I84" s="26"/>
      <c r="J84" s="27" t="s">
        <v>2056</v>
      </c>
      <c r="K84" s="27"/>
      <c r="L84" s="27"/>
      <c r="M84" s="27"/>
      <c r="N84" s="28">
        <f t="shared" si="4"/>
        <v>1881</v>
      </c>
      <c r="O84" s="28"/>
      <c r="P84" s="28"/>
      <c r="Q84" s="27" t="s">
        <v>2032</v>
      </c>
      <c r="R84" s="27"/>
      <c r="S84" s="29" t="s">
        <v>2032</v>
      </c>
      <c r="T84" s="29"/>
      <c r="U84" s="29"/>
      <c r="V84" s="29"/>
      <c r="W84" s="30" t="s">
        <v>2032</v>
      </c>
      <c r="X84" s="29" t="s">
        <v>2032</v>
      </c>
      <c r="Y84" s="29"/>
      <c r="Z84" s="29"/>
      <c r="AA84" s="29"/>
      <c r="AB84" s="27" t="s">
        <v>2056</v>
      </c>
      <c r="AC84" s="27"/>
      <c r="AD84" s="27"/>
      <c r="AE84" s="31">
        <f t="shared" si="5"/>
        <v>1881</v>
      </c>
      <c r="AF84" s="31"/>
      <c r="AG84" s="31"/>
    </row>
    <row r="85" spans="1:33" s="1" customFormat="1" ht="33" customHeight="1">
      <c r="A85" s="24" t="s">
        <v>2248</v>
      </c>
      <c r="B85" s="25" t="s">
        <v>2249</v>
      </c>
      <c r="C85" s="25"/>
      <c r="D85" s="25"/>
      <c r="E85" s="26" t="s">
        <v>2245</v>
      </c>
      <c r="F85" s="26"/>
      <c r="G85" s="26"/>
      <c r="H85" s="26"/>
      <c r="I85" s="26"/>
      <c r="J85" s="27" t="s">
        <v>2056</v>
      </c>
      <c r="K85" s="27"/>
      <c r="L85" s="27"/>
      <c r="M85" s="27"/>
      <c r="N85" s="28">
        <f t="shared" si="4"/>
        <v>1881</v>
      </c>
      <c r="O85" s="28"/>
      <c r="P85" s="28"/>
      <c r="Q85" s="27" t="s">
        <v>2032</v>
      </c>
      <c r="R85" s="27"/>
      <c r="S85" s="29" t="s">
        <v>2032</v>
      </c>
      <c r="T85" s="29"/>
      <c r="U85" s="29"/>
      <c r="V85" s="29"/>
      <c r="W85" s="30" t="s">
        <v>2032</v>
      </c>
      <c r="X85" s="29" t="s">
        <v>2032</v>
      </c>
      <c r="Y85" s="29"/>
      <c r="Z85" s="29"/>
      <c r="AA85" s="29"/>
      <c r="AB85" s="27" t="s">
        <v>2056</v>
      </c>
      <c r="AC85" s="27"/>
      <c r="AD85" s="27"/>
      <c r="AE85" s="31">
        <f t="shared" si="5"/>
        <v>1881</v>
      </c>
      <c r="AF85" s="31"/>
      <c r="AG85" s="31"/>
    </row>
    <row r="86" spans="1:33" s="1" customFormat="1" ht="33" customHeight="1">
      <c r="A86" s="24" t="s">
        <v>2250</v>
      </c>
      <c r="B86" s="25" t="s">
        <v>2251</v>
      </c>
      <c r="C86" s="25"/>
      <c r="D86" s="25"/>
      <c r="E86" s="26" t="s">
        <v>2245</v>
      </c>
      <c r="F86" s="26"/>
      <c r="G86" s="26"/>
      <c r="H86" s="26"/>
      <c r="I86" s="26"/>
      <c r="J86" s="27" t="s">
        <v>2056</v>
      </c>
      <c r="K86" s="27"/>
      <c r="L86" s="27"/>
      <c r="M86" s="27"/>
      <c r="N86" s="28">
        <f t="shared" si="4"/>
        <v>1881</v>
      </c>
      <c r="O86" s="28"/>
      <c r="P86" s="28"/>
      <c r="Q86" s="27" t="s">
        <v>2032</v>
      </c>
      <c r="R86" s="27"/>
      <c r="S86" s="29" t="s">
        <v>2032</v>
      </c>
      <c r="T86" s="29"/>
      <c r="U86" s="29"/>
      <c r="V86" s="29"/>
      <c r="W86" s="30" t="s">
        <v>2032</v>
      </c>
      <c r="X86" s="29" t="s">
        <v>2032</v>
      </c>
      <c r="Y86" s="29"/>
      <c r="Z86" s="29"/>
      <c r="AA86" s="29"/>
      <c r="AB86" s="27" t="s">
        <v>2056</v>
      </c>
      <c r="AC86" s="27"/>
      <c r="AD86" s="27"/>
      <c r="AE86" s="31">
        <f t="shared" si="5"/>
        <v>1881</v>
      </c>
      <c r="AF86" s="31"/>
      <c r="AG86" s="31"/>
    </row>
    <row r="87" spans="1:33" s="1" customFormat="1" ht="33" customHeight="1">
      <c r="A87" s="24" t="s">
        <v>2252</v>
      </c>
      <c r="B87" s="25" t="s">
        <v>2253</v>
      </c>
      <c r="C87" s="25"/>
      <c r="D87" s="25"/>
      <c r="E87" s="26" t="s">
        <v>2245</v>
      </c>
      <c r="F87" s="26"/>
      <c r="G87" s="26"/>
      <c r="H87" s="26"/>
      <c r="I87" s="26"/>
      <c r="J87" s="27" t="s">
        <v>2056</v>
      </c>
      <c r="K87" s="27"/>
      <c r="L87" s="27"/>
      <c r="M87" s="27"/>
      <c r="N87" s="28">
        <f t="shared" si="4"/>
        <v>1881</v>
      </c>
      <c r="O87" s="28"/>
      <c r="P87" s="28"/>
      <c r="Q87" s="27" t="s">
        <v>2032</v>
      </c>
      <c r="R87" s="27"/>
      <c r="S87" s="29" t="s">
        <v>2032</v>
      </c>
      <c r="T87" s="29"/>
      <c r="U87" s="29"/>
      <c r="V87" s="29"/>
      <c r="W87" s="30" t="s">
        <v>2032</v>
      </c>
      <c r="X87" s="29" t="s">
        <v>2032</v>
      </c>
      <c r="Y87" s="29"/>
      <c r="Z87" s="29"/>
      <c r="AA87" s="29"/>
      <c r="AB87" s="27" t="s">
        <v>2056</v>
      </c>
      <c r="AC87" s="27"/>
      <c r="AD87" s="27"/>
      <c r="AE87" s="31">
        <f t="shared" si="5"/>
        <v>1881</v>
      </c>
      <c r="AF87" s="31"/>
      <c r="AG87" s="31"/>
    </row>
    <row r="88" spans="1:33" s="1" customFormat="1" ht="33" customHeight="1">
      <c r="A88" s="24" t="s">
        <v>2254</v>
      </c>
      <c r="B88" s="25" t="s">
        <v>2255</v>
      </c>
      <c r="C88" s="25"/>
      <c r="D88" s="25"/>
      <c r="E88" s="26" t="s">
        <v>2245</v>
      </c>
      <c r="F88" s="26"/>
      <c r="G88" s="26"/>
      <c r="H88" s="26"/>
      <c r="I88" s="26"/>
      <c r="J88" s="27" t="s">
        <v>2056</v>
      </c>
      <c r="K88" s="27"/>
      <c r="L88" s="27"/>
      <c r="M88" s="27"/>
      <c r="N88" s="28">
        <f t="shared" si="4"/>
        <v>1881</v>
      </c>
      <c r="O88" s="28"/>
      <c r="P88" s="28"/>
      <c r="Q88" s="27" t="s">
        <v>2032</v>
      </c>
      <c r="R88" s="27"/>
      <c r="S88" s="29" t="s">
        <v>2032</v>
      </c>
      <c r="T88" s="29"/>
      <c r="U88" s="29"/>
      <c r="V88" s="29"/>
      <c r="W88" s="30" t="s">
        <v>2032</v>
      </c>
      <c r="X88" s="29" t="s">
        <v>2032</v>
      </c>
      <c r="Y88" s="29"/>
      <c r="Z88" s="29"/>
      <c r="AA88" s="29"/>
      <c r="AB88" s="27" t="s">
        <v>2056</v>
      </c>
      <c r="AC88" s="27"/>
      <c r="AD88" s="27"/>
      <c r="AE88" s="31">
        <f t="shared" si="5"/>
        <v>1881</v>
      </c>
      <c r="AF88" s="31"/>
      <c r="AG88" s="31"/>
    </row>
    <row r="89" spans="1:33" s="1" customFormat="1" ht="33" customHeight="1">
      <c r="A89" s="24" t="s">
        <v>2256</v>
      </c>
      <c r="B89" s="25" t="s">
        <v>2257</v>
      </c>
      <c r="C89" s="25"/>
      <c r="D89" s="25"/>
      <c r="E89" s="26" t="s">
        <v>2245</v>
      </c>
      <c r="F89" s="26"/>
      <c r="G89" s="26"/>
      <c r="H89" s="26"/>
      <c r="I89" s="26"/>
      <c r="J89" s="27" t="s">
        <v>2056</v>
      </c>
      <c r="K89" s="27"/>
      <c r="L89" s="27"/>
      <c r="M89" s="27"/>
      <c r="N89" s="28">
        <f t="shared" si="4"/>
        <v>1881</v>
      </c>
      <c r="O89" s="28"/>
      <c r="P89" s="28"/>
      <c r="Q89" s="27" t="s">
        <v>2032</v>
      </c>
      <c r="R89" s="27"/>
      <c r="S89" s="29" t="s">
        <v>2032</v>
      </c>
      <c r="T89" s="29"/>
      <c r="U89" s="29"/>
      <c r="V89" s="29"/>
      <c r="W89" s="30" t="s">
        <v>2032</v>
      </c>
      <c r="X89" s="29" t="s">
        <v>2032</v>
      </c>
      <c r="Y89" s="29"/>
      <c r="Z89" s="29"/>
      <c r="AA89" s="29"/>
      <c r="AB89" s="27" t="s">
        <v>2056</v>
      </c>
      <c r="AC89" s="27"/>
      <c r="AD89" s="27"/>
      <c r="AE89" s="31">
        <f t="shared" si="5"/>
        <v>1881</v>
      </c>
      <c r="AF89" s="31"/>
      <c r="AG89" s="31"/>
    </row>
    <row r="90" spans="1:33" s="1" customFormat="1" ht="33" customHeight="1">
      <c r="A90" s="24" t="s">
        <v>2258</v>
      </c>
      <c r="B90" s="25" t="s">
        <v>2259</v>
      </c>
      <c r="C90" s="25"/>
      <c r="D90" s="25"/>
      <c r="E90" s="26" t="s">
        <v>2245</v>
      </c>
      <c r="F90" s="26"/>
      <c r="G90" s="26"/>
      <c r="H90" s="26"/>
      <c r="I90" s="26"/>
      <c r="J90" s="27" t="s">
        <v>2056</v>
      </c>
      <c r="K90" s="27"/>
      <c r="L90" s="27"/>
      <c r="M90" s="27"/>
      <c r="N90" s="28">
        <f t="shared" si="4"/>
        <v>1881</v>
      </c>
      <c r="O90" s="28"/>
      <c r="P90" s="28"/>
      <c r="Q90" s="27" t="s">
        <v>2032</v>
      </c>
      <c r="R90" s="27"/>
      <c r="S90" s="29" t="s">
        <v>2032</v>
      </c>
      <c r="T90" s="29"/>
      <c r="U90" s="29"/>
      <c r="V90" s="29"/>
      <c r="W90" s="30" t="s">
        <v>2032</v>
      </c>
      <c r="X90" s="29" t="s">
        <v>2032</v>
      </c>
      <c r="Y90" s="29"/>
      <c r="Z90" s="29"/>
      <c r="AA90" s="29"/>
      <c r="AB90" s="27" t="s">
        <v>2056</v>
      </c>
      <c r="AC90" s="27"/>
      <c r="AD90" s="27"/>
      <c r="AE90" s="31">
        <f t="shared" si="5"/>
        <v>1881</v>
      </c>
      <c r="AF90" s="31"/>
      <c r="AG90" s="31"/>
    </row>
    <row r="91" spans="1:33" s="1" customFormat="1" ht="18.75" customHeight="1">
      <c r="A91" s="24" t="s">
        <v>2260</v>
      </c>
      <c r="B91" s="25" t="s">
        <v>2261</v>
      </c>
      <c r="C91" s="25"/>
      <c r="D91" s="25"/>
      <c r="E91" s="26" t="s">
        <v>2262</v>
      </c>
      <c r="F91" s="26"/>
      <c r="G91" s="26"/>
      <c r="H91" s="26"/>
      <c r="I91" s="26"/>
      <c r="J91" s="27" t="s">
        <v>2056</v>
      </c>
      <c r="K91" s="27"/>
      <c r="L91" s="27"/>
      <c r="M91" s="27"/>
      <c r="N91" s="28">
        <f t="shared" si="4"/>
        <v>1881</v>
      </c>
      <c r="O91" s="28"/>
      <c r="P91" s="28"/>
      <c r="Q91" s="27" t="s">
        <v>2032</v>
      </c>
      <c r="R91" s="27"/>
      <c r="S91" s="29" t="s">
        <v>2032</v>
      </c>
      <c r="T91" s="29"/>
      <c r="U91" s="29"/>
      <c r="V91" s="29"/>
      <c r="W91" s="30" t="s">
        <v>2032</v>
      </c>
      <c r="X91" s="29" t="s">
        <v>2032</v>
      </c>
      <c r="Y91" s="29"/>
      <c r="Z91" s="29"/>
      <c r="AA91" s="29"/>
      <c r="AB91" s="27" t="s">
        <v>2056</v>
      </c>
      <c r="AC91" s="27"/>
      <c r="AD91" s="27"/>
      <c r="AE91" s="31">
        <f t="shared" si="5"/>
        <v>1881</v>
      </c>
      <c r="AF91" s="31"/>
      <c r="AG91" s="31"/>
    </row>
    <row r="92" spans="1:33" s="1" customFormat="1" ht="18.75" customHeight="1">
      <c r="A92" s="24" t="s">
        <v>2263</v>
      </c>
      <c r="B92" s="25" t="s">
        <v>2264</v>
      </c>
      <c r="C92" s="25"/>
      <c r="D92" s="25"/>
      <c r="E92" s="26" t="s">
        <v>2262</v>
      </c>
      <c r="F92" s="26"/>
      <c r="G92" s="26"/>
      <c r="H92" s="26"/>
      <c r="I92" s="26"/>
      <c r="J92" s="27" t="s">
        <v>2056</v>
      </c>
      <c r="K92" s="27"/>
      <c r="L92" s="27"/>
      <c r="M92" s="27"/>
      <c r="N92" s="28">
        <f t="shared" si="4"/>
        <v>1881</v>
      </c>
      <c r="O92" s="28"/>
      <c r="P92" s="28"/>
      <c r="Q92" s="27" t="s">
        <v>2032</v>
      </c>
      <c r="R92" s="27"/>
      <c r="S92" s="29" t="s">
        <v>2032</v>
      </c>
      <c r="T92" s="29"/>
      <c r="U92" s="29"/>
      <c r="V92" s="29"/>
      <c r="W92" s="30" t="s">
        <v>2032</v>
      </c>
      <c r="X92" s="29" t="s">
        <v>2032</v>
      </c>
      <c r="Y92" s="29"/>
      <c r="Z92" s="29"/>
      <c r="AA92" s="29"/>
      <c r="AB92" s="27" t="s">
        <v>2056</v>
      </c>
      <c r="AC92" s="27"/>
      <c r="AD92" s="27"/>
      <c r="AE92" s="31">
        <f t="shared" si="5"/>
        <v>1881</v>
      </c>
      <c r="AF92" s="31"/>
      <c r="AG92" s="31"/>
    </row>
    <row r="93" spans="1:33" s="1" customFormat="1" ht="18.75" customHeight="1">
      <c r="A93" s="24" t="s">
        <v>2265</v>
      </c>
      <c r="B93" s="25" t="s">
        <v>2266</v>
      </c>
      <c r="C93" s="25"/>
      <c r="D93" s="25"/>
      <c r="E93" s="26" t="s">
        <v>2262</v>
      </c>
      <c r="F93" s="26"/>
      <c r="G93" s="26"/>
      <c r="H93" s="26"/>
      <c r="I93" s="26"/>
      <c r="J93" s="27" t="s">
        <v>2056</v>
      </c>
      <c r="K93" s="27"/>
      <c r="L93" s="27"/>
      <c r="M93" s="27"/>
      <c r="N93" s="28">
        <f t="shared" si="4"/>
        <v>1881</v>
      </c>
      <c r="O93" s="28"/>
      <c r="P93" s="28"/>
      <c r="Q93" s="27" t="s">
        <v>2032</v>
      </c>
      <c r="R93" s="27"/>
      <c r="S93" s="29" t="s">
        <v>2032</v>
      </c>
      <c r="T93" s="29"/>
      <c r="U93" s="29"/>
      <c r="V93" s="29"/>
      <c r="W93" s="30" t="s">
        <v>2032</v>
      </c>
      <c r="X93" s="29" t="s">
        <v>2032</v>
      </c>
      <c r="Y93" s="29"/>
      <c r="Z93" s="29"/>
      <c r="AA93" s="29"/>
      <c r="AB93" s="27" t="s">
        <v>2056</v>
      </c>
      <c r="AC93" s="27"/>
      <c r="AD93" s="27"/>
      <c r="AE93" s="31">
        <f t="shared" si="5"/>
        <v>1881</v>
      </c>
      <c r="AF93" s="31"/>
      <c r="AG93" s="31"/>
    </row>
    <row r="94" spans="1:33" s="1" customFormat="1" ht="18.75" customHeight="1">
      <c r="A94" s="24" t="s">
        <v>2267</v>
      </c>
      <c r="B94" s="25" t="s">
        <v>2268</v>
      </c>
      <c r="C94" s="25"/>
      <c r="D94" s="25"/>
      <c r="E94" s="26" t="s">
        <v>2262</v>
      </c>
      <c r="F94" s="26"/>
      <c r="G94" s="26"/>
      <c r="H94" s="26"/>
      <c r="I94" s="26"/>
      <c r="J94" s="27" t="s">
        <v>2056</v>
      </c>
      <c r="K94" s="27"/>
      <c r="L94" s="27"/>
      <c r="M94" s="27"/>
      <c r="N94" s="28">
        <f t="shared" si="4"/>
        <v>1881</v>
      </c>
      <c r="O94" s="28"/>
      <c r="P94" s="28"/>
      <c r="Q94" s="27" t="s">
        <v>2032</v>
      </c>
      <c r="R94" s="27"/>
      <c r="S94" s="29" t="s">
        <v>2032</v>
      </c>
      <c r="T94" s="29"/>
      <c r="U94" s="29"/>
      <c r="V94" s="29"/>
      <c r="W94" s="30" t="s">
        <v>2032</v>
      </c>
      <c r="X94" s="29" t="s">
        <v>2032</v>
      </c>
      <c r="Y94" s="29"/>
      <c r="Z94" s="29"/>
      <c r="AA94" s="29"/>
      <c r="AB94" s="27" t="s">
        <v>2056</v>
      </c>
      <c r="AC94" s="27"/>
      <c r="AD94" s="27"/>
      <c r="AE94" s="31">
        <f t="shared" si="5"/>
        <v>1881</v>
      </c>
      <c r="AF94" s="31"/>
      <c r="AG94" s="31"/>
    </row>
    <row r="95" spans="1:33" s="1" customFormat="1" ht="18.75" customHeight="1">
      <c r="A95" s="24" t="s">
        <v>2269</v>
      </c>
      <c r="B95" s="25" t="s">
        <v>2270</v>
      </c>
      <c r="C95" s="25"/>
      <c r="D95" s="25"/>
      <c r="E95" s="26" t="s">
        <v>2262</v>
      </c>
      <c r="F95" s="26"/>
      <c r="G95" s="26"/>
      <c r="H95" s="26"/>
      <c r="I95" s="26"/>
      <c r="J95" s="27" t="s">
        <v>2056</v>
      </c>
      <c r="K95" s="27"/>
      <c r="L95" s="27"/>
      <c r="M95" s="27"/>
      <c r="N95" s="28">
        <f t="shared" si="4"/>
        <v>1881</v>
      </c>
      <c r="O95" s="28"/>
      <c r="P95" s="28"/>
      <c r="Q95" s="27" t="s">
        <v>2032</v>
      </c>
      <c r="R95" s="27"/>
      <c r="S95" s="29" t="s">
        <v>2032</v>
      </c>
      <c r="T95" s="29"/>
      <c r="U95" s="29"/>
      <c r="V95" s="29"/>
      <c r="W95" s="30" t="s">
        <v>2032</v>
      </c>
      <c r="X95" s="29" t="s">
        <v>2032</v>
      </c>
      <c r="Y95" s="29"/>
      <c r="Z95" s="29"/>
      <c r="AA95" s="29"/>
      <c r="AB95" s="27" t="s">
        <v>2056</v>
      </c>
      <c r="AC95" s="27"/>
      <c r="AD95" s="27"/>
      <c r="AE95" s="31">
        <f t="shared" si="5"/>
        <v>1881</v>
      </c>
      <c r="AF95" s="31"/>
      <c r="AG95" s="31"/>
    </row>
    <row r="96" spans="1:33" s="1" customFormat="1" ht="33" customHeight="1">
      <c r="A96" s="24" t="s">
        <v>2271</v>
      </c>
      <c r="B96" s="25" t="s">
        <v>2272</v>
      </c>
      <c r="C96" s="25"/>
      <c r="D96" s="25"/>
      <c r="E96" s="26" t="s">
        <v>2273</v>
      </c>
      <c r="F96" s="26"/>
      <c r="G96" s="26"/>
      <c r="H96" s="26"/>
      <c r="I96" s="26"/>
      <c r="J96" s="27" t="s">
        <v>2056</v>
      </c>
      <c r="K96" s="27"/>
      <c r="L96" s="27"/>
      <c r="M96" s="27"/>
      <c r="N96" s="28">
        <f>2910</f>
        <v>2910</v>
      </c>
      <c r="O96" s="28"/>
      <c r="P96" s="28"/>
      <c r="Q96" s="27" t="s">
        <v>2032</v>
      </c>
      <c r="R96" s="27"/>
      <c r="S96" s="29" t="s">
        <v>2032</v>
      </c>
      <c r="T96" s="29"/>
      <c r="U96" s="29"/>
      <c r="V96" s="29"/>
      <c r="W96" s="30" t="s">
        <v>2032</v>
      </c>
      <c r="X96" s="29" t="s">
        <v>2032</v>
      </c>
      <c r="Y96" s="29"/>
      <c r="Z96" s="29"/>
      <c r="AA96" s="29"/>
      <c r="AB96" s="27" t="s">
        <v>2056</v>
      </c>
      <c r="AC96" s="27"/>
      <c r="AD96" s="27"/>
      <c r="AE96" s="31">
        <f>2910</f>
        <v>2910</v>
      </c>
      <c r="AF96" s="31"/>
      <c r="AG96" s="31"/>
    </row>
    <row r="97" spans="1:33" s="1" customFormat="1" ht="33" customHeight="1">
      <c r="A97" s="24" t="s">
        <v>2274</v>
      </c>
      <c r="B97" s="25" t="s">
        <v>2275</v>
      </c>
      <c r="C97" s="25"/>
      <c r="D97" s="25"/>
      <c r="E97" s="26" t="s">
        <v>2276</v>
      </c>
      <c r="F97" s="26"/>
      <c r="G97" s="26"/>
      <c r="H97" s="26"/>
      <c r="I97" s="26"/>
      <c r="J97" s="27" t="s">
        <v>2056</v>
      </c>
      <c r="K97" s="27"/>
      <c r="L97" s="27"/>
      <c r="M97" s="27"/>
      <c r="N97" s="28">
        <f>1260</f>
        <v>1260</v>
      </c>
      <c r="O97" s="28"/>
      <c r="P97" s="28"/>
      <c r="Q97" s="27" t="s">
        <v>2032</v>
      </c>
      <c r="R97" s="27"/>
      <c r="S97" s="29" t="s">
        <v>2032</v>
      </c>
      <c r="T97" s="29"/>
      <c r="U97" s="29"/>
      <c r="V97" s="29"/>
      <c r="W97" s="30" t="s">
        <v>2032</v>
      </c>
      <c r="X97" s="29" t="s">
        <v>2032</v>
      </c>
      <c r="Y97" s="29"/>
      <c r="Z97" s="29"/>
      <c r="AA97" s="29"/>
      <c r="AB97" s="27" t="s">
        <v>2056</v>
      </c>
      <c r="AC97" s="27"/>
      <c r="AD97" s="27"/>
      <c r="AE97" s="31">
        <f>1260</f>
        <v>1260</v>
      </c>
      <c r="AF97" s="31"/>
      <c r="AG97" s="31"/>
    </row>
    <row r="98" spans="1:33" s="1" customFormat="1" ht="33" customHeight="1">
      <c r="A98" s="24" t="s">
        <v>2277</v>
      </c>
      <c r="B98" s="25" t="s">
        <v>2278</v>
      </c>
      <c r="C98" s="25"/>
      <c r="D98" s="25"/>
      <c r="E98" s="26" t="s">
        <v>2279</v>
      </c>
      <c r="F98" s="26"/>
      <c r="G98" s="26"/>
      <c r="H98" s="26"/>
      <c r="I98" s="26"/>
      <c r="J98" s="27" t="s">
        <v>2056</v>
      </c>
      <c r="K98" s="27"/>
      <c r="L98" s="27"/>
      <c r="M98" s="27"/>
      <c r="N98" s="28">
        <f>2607</f>
        <v>2607</v>
      </c>
      <c r="O98" s="28"/>
      <c r="P98" s="28"/>
      <c r="Q98" s="27" t="s">
        <v>2032</v>
      </c>
      <c r="R98" s="27"/>
      <c r="S98" s="29" t="s">
        <v>2032</v>
      </c>
      <c r="T98" s="29"/>
      <c r="U98" s="29"/>
      <c r="V98" s="29"/>
      <c r="W98" s="30" t="s">
        <v>2032</v>
      </c>
      <c r="X98" s="29" t="s">
        <v>2032</v>
      </c>
      <c r="Y98" s="29"/>
      <c r="Z98" s="29"/>
      <c r="AA98" s="29"/>
      <c r="AB98" s="27" t="s">
        <v>2056</v>
      </c>
      <c r="AC98" s="27"/>
      <c r="AD98" s="27"/>
      <c r="AE98" s="31">
        <f>2607</f>
        <v>2607</v>
      </c>
      <c r="AF98" s="31"/>
      <c r="AG98" s="31"/>
    </row>
    <row r="99" spans="1:33" s="1" customFormat="1" ht="33" customHeight="1">
      <c r="A99" s="24" t="s">
        <v>2280</v>
      </c>
      <c r="B99" s="25" t="s">
        <v>2281</v>
      </c>
      <c r="C99" s="25"/>
      <c r="D99" s="25"/>
      <c r="E99" s="26" t="s">
        <v>2282</v>
      </c>
      <c r="F99" s="26"/>
      <c r="G99" s="26"/>
      <c r="H99" s="26"/>
      <c r="I99" s="26"/>
      <c r="J99" s="27" t="s">
        <v>2056</v>
      </c>
      <c r="K99" s="27"/>
      <c r="L99" s="27"/>
      <c r="M99" s="27"/>
      <c r="N99" s="28">
        <f>1452</f>
        <v>1452</v>
      </c>
      <c r="O99" s="28"/>
      <c r="P99" s="28"/>
      <c r="Q99" s="27" t="s">
        <v>2032</v>
      </c>
      <c r="R99" s="27"/>
      <c r="S99" s="29" t="s">
        <v>2032</v>
      </c>
      <c r="T99" s="29"/>
      <c r="U99" s="29"/>
      <c r="V99" s="29"/>
      <c r="W99" s="30" t="s">
        <v>2032</v>
      </c>
      <c r="X99" s="29" t="s">
        <v>2032</v>
      </c>
      <c r="Y99" s="29"/>
      <c r="Z99" s="29"/>
      <c r="AA99" s="29"/>
      <c r="AB99" s="27" t="s">
        <v>2056</v>
      </c>
      <c r="AC99" s="27"/>
      <c r="AD99" s="27"/>
      <c r="AE99" s="31">
        <f>1452</f>
        <v>1452</v>
      </c>
      <c r="AF99" s="31"/>
      <c r="AG99" s="31"/>
    </row>
    <row r="100" spans="1:33" s="1" customFormat="1" ht="18.75" customHeight="1">
      <c r="A100" s="24" t="s">
        <v>2283</v>
      </c>
      <c r="B100" s="25" t="s">
        <v>2284</v>
      </c>
      <c r="C100" s="25"/>
      <c r="D100" s="25"/>
      <c r="E100" s="26" t="s">
        <v>2285</v>
      </c>
      <c r="F100" s="26"/>
      <c r="G100" s="26"/>
      <c r="H100" s="26"/>
      <c r="I100" s="26"/>
      <c r="J100" s="27" t="s">
        <v>2056</v>
      </c>
      <c r="K100" s="27"/>
      <c r="L100" s="27"/>
      <c r="M100" s="27"/>
      <c r="N100" s="28">
        <f>1166</f>
        <v>1166</v>
      </c>
      <c r="O100" s="28"/>
      <c r="P100" s="28"/>
      <c r="Q100" s="27" t="s">
        <v>2032</v>
      </c>
      <c r="R100" s="27"/>
      <c r="S100" s="29" t="s">
        <v>2032</v>
      </c>
      <c r="T100" s="29"/>
      <c r="U100" s="29"/>
      <c r="V100" s="29"/>
      <c r="W100" s="30" t="s">
        <v>2032</v>
      </c>
      <c r="X100" s="29" t="s">
        <v>2032</v>
      </c>
      <c r="Y100" s="29"/>
      <c r="Z100" s="29"/>
      <c r="AA100" s="29"/>
      <c r="AB100" s="27" t="s">
        <v>2056</v>
      </c>
      <c r="AC100" s="27"/>
      <c r="AD100" s="27"/>
      <c r="AE100" s="31">
        <f>1166</f>
        <v>1166</v>
      </c>
      <c r="AF100" s="31"/>
      <c r="AG100" s="31"/>
    </row>
    <row r="101" spans="1:33" s="1" customFormat="1" ht="18.75" customHeight="1">
      <c r="A101" s="24" t="s">
        <v>2286</v>
      </c>
      <c r="B101" s="25" t="s">
        <v>2287</v>
      </c>
      <c r="C101" s="25"/>
      <c r="D101" s="25"/>
      <c r="E101" s="26" t="s">
        <v>2288</v>
      </c>
      <c r="F101" s="26"/>
      <c r="G101" s="26"/>
      <c r="H101" s="26"/>
      <c r="I101" s="26"/>
      <c r="J101" s="27" t="s">
        <v>2056</v>
      </c>
      <c r="K101" s="27"/>
      <c r="L101" s="27"/>
      <c r="M101" s="27"/>
      <c r="N101" s="28">
        <f>1166</f>
        <v>1166</v>
      </c>
      <c r="O101" s="28"/>
      <c r="P101" s="28"/>
      <c r="Q101" s="27" t="s">
        <v>2032</v>
      </c>
      <c r="R101" s="27"/>
      <c r="S101" s="29" t="s">
        <v>2032</v>
      </c>
      <c r="T101" s="29"/>
      <c r="U101" s="29"/>
      <c r="V101" s="29"/>
      <c r="W101" s="30" t="s">
        <v>2032</v>
      </c>
      <c r="X101" s="29" t="s">
        <v>2032</v>
      </c>
      <c r="Y101" s="29"/>
      <c r="Z101" s="29"/>
      <c r="AA101" s="29"/>
      <c r="AB101" s="27" t="s">
        <v>2056</v>
      </c>
      <c r="AC101" s="27"/>
      <c r="AD101" s="27"/>
      <c r="AE101" s="31">
        <f>1166</f>
        <v>1166</v>
      </c>
      <c r="AF101" s="31"/>
      <c r="AG101" s="31"/>
    </row>
    <row r="102" spans="1:33" s="1" customFormat="1" ht="33" customHeight="1">
      <c r="A102" s="24" t="s">
        <v>2289</v>
      </c>
      <c r="B102" s="25" t="s">
        <v>2290</v>
      </c>
      <c r="C102" s="25"/>
      <c r="D102" s="25"/>
      <c r="E102" s="26" t="s">
        <v>2291</v>
      </c>
      <c r="F102" s="26"/>
      <c r="G102" s="26"/>
      <c r="H102" s="26"/>
      <c r="I102" s="26"/>
      <c r="J102" s="27" t="s">
        <v>2056</v>
      </c>
      <c r="K102" s="27"/>
      <c r="L102" s="27"/>
      <c r="M102" s="27"/>
      <c r="N102" s="28">
        <f>2794</f>
        <v>2794</v>
      </c>
      <c r="O102" s="28"/>
      <c r="P102" s="28"/>
      <c r="Q102" s="27" t="s">
        <v>2032</v>
      </c>
      <c r="R102" s="27"/>
      <c r="S102" s="29" t="s">
        <v>2032</v>
      </c>
      <c r="T102" s="29"/>
      <c r="U102" s="29"/>
      <c r="V102" s="29"/>
      <c r="W102" s="30" t="s">
        <v>2032</v>
      </c>
      <c r="X102" s="29" t="s">
        <v>2032</v>
      </c>
      <c r="Y102" s="29"/>
      <c r="Z102" s="29"/>
      <c r="AA102" s="29"/>
      <c r="AB102" s="27" t="s">
        <v>2056</v>
      </c>
      <c r="AC102" s="27"/>
      <c r="AD102" s="27"/>
      <c r="AE102" s="31">
        <f>2794</f>
        <v>2794</v>
      </c>
      <c r="AF102" s="31"/>
      <c r="AG102" s="31"/>
    </row>
    <row r="103" spans="1:33" s="1" customFormat="1" ht="33" customHeight="1">
      <c r="A103" s="24" t="s">
        <v>2292</v>
      </c>
      <c r="B103" s="25" t="s">
        <v>2293</v>
      </c>
      <c r="C103" s="25"/>
      <c r="D103" s="25"/>
      <c r="E103" s="26" t="s">
        <v>2294</v>
      </c>
      <c r="F103" s="26"/>
      <c r="G103" s="26"/>
      <c r="H103" s="26"/>
      <c r="I103" s="26"/>
      <c r="J103" s="27" t="s">
        <v>2056</v>
      </c>
      <c r="K103" s="27"/>
      <c r="L103" s="27"/>
      <c r="M103" s="27"/>
      <c r="N103" s="28">
        <f>1931</f>
        <v>1931</v>
      </c>
      <c r="O103" s="28"/>
      <c r="P103" s="28"/>
      <c r="Q103" s="27" t="s">
        <v>2032</v>
      </c>
      <c r="R103" s="27"/>
      <c r="S103" s="29" t="s">
        <v>2032</v>
      </c>
      <c r="T103" s="29"/>
      <c r="U103" s="29"/>
      <c r="V103" s="29"/>
      <c r="W103" s="30" t="s">
        <v>2032</v>
      </c>
      <c r="X103" s="29" t="s">
        <v>2032</v>
      </c>
      <c r="Y103" s="29"/>
      <c r="Z103" s="29"/>
      <c r="AA103" s="29"/>
      <c r="AB103" s="27" t="s">
        <v>2056</v>
      </c>
      <c r="AC103" s="27"/>
      <c r="AD103" s="27"/>
      <c r="AE103" s="31">
        <f>1931</f>
        <v>1931</v>
      </c>
      <c r="AF103" s="31"/>
      <c r="AG103" s="31"/>
    </row>
    <row r="104" spans="1:33" s="1" customFormat="1" ht="33" customHeight="1">
      <c r="A104" s="24" t="s">
        <v>2295</v>
      </c>
      <c r="B104" s="25" t="s">
        <v>2296</v>
      </c>
      <c r="C104" s="25"/>
      <c r="D104" s="25"/>
      <c r="E104" s="26" t="s">
        <v>2294</v>
      </c>
      <c r="F104" s="26"/>
      <c r="G104" s="26"/>
      <c r="H104" s="26"/>
      <c r="I104" s="26"/>
      <c r="J104" s="27" t="s">
        <v>2056</v>
      </c>
      <c r="K104" s="27"/>
      <c r="L104" s="27"/>
      <c r="M104" s="27"/>
      <c r="N104" s="28">
        <f>1931</f>
        <v>1931</v>
      </c>
      <c r="O104" s="28"/>
      <c r="P104" s="28"/>
      <c r="Q104" s="27" t="s">
        <v>2032</v>
      </c>
      <c r="R104" s="27"/>
      <c r="S104" s="29" t="s">
        <v>2032</v>
      </c>
      <c r="T104" s="29"/>
      <c r="U104" s="29"/>
      <c r="V104" s="29"/>
      <c r="W104" s="30" t="s">
        <v>2032</v>
      </c>
      <c r="X104" s="29" t="s">
        <v>2032</v>
      </c>
      <c r="Y104" s="29"/>
      <c r="Z104" s="29"/>
      <c r="AA104" s="29"/>
      <c r="AB104" s="27" t="s">
        <v>2056</v>
      </c>
      <c r="AC104" s="27"/>
      <c r="AD104" s="27"/>
      <c r="AE104" s="31">
        <f>1931</f>
        <v>1931</v>
      </c>
      <c r="AF104" s="31"/>
      <c r="AG104" s="31"/>
    </row>
    <row r="105" spans="1:33" s="1" customFormat="1" ht="33" customHeight="1">
      <c r="A105" s="24" t="s">
        <v>2297</v>
      </c>
      <c r="B105" s="25" t="s">
        <v>2298</v>
      </c>
      <c r="C105" s="25"/>
      <c r="D105" s="25"/>
      <c r="E105" s="26" t="s">
        <v>2299</v>
      </c>
      <c r="F105" s="26"/>
      <c r="G105" s="26"/>
      <c r="H105" s="26"/>
      <c r="I105" s="26"/>
      <c r="J105" s="27" t="s">
        <v>2056</v>
      </c>
      <c r="K105" s="27"/>
      <c r="L105" s="27"/>
      <c r="M105" s="27"/>
      <c r="N105" s="28">
        <f>2591</f>
        <v>2591</v>
      </c>
      <c r="O105" s="28"/>
      <c r="P105" s="28"/>
      <c r="Q105" s="27" t="s">
        <v>2032</v>
      </c>
      <c r="R105" s="27"/>
      <c r="S105" s="29" t="s">
        <v>2032</v>
      </c>
      <c r="T105" s="29"/>
      <c r="U105" s="29"/>
      <c r="V105" s="29"/>
      <c r="W105" s="30" t="s">
        <v>2032</v>
      </c>
      <c r="X105" s="29" t="s">
        <v>2032</v>
      </c>
      <c r="Y105" s="29"/>
      <c r="Z105" s="29"/>
      <c r="AA105" s="29"/>
      <c r="AB105" s="27" t="s">
        <v>2056</v>
      </c>
      <c r="AC105" s="27"/>
      <c r="AD105" s="27"/>
      <c r="AE105" s="31">
        <f>2591</f>
        <v>2591</v>
      </c>
      <c r="AF105" s="31"/>
      <c r="AG105" s="31"/>
    </row>
    <row r="106" spans="1:33" s="1" customFormat="1" ht="18.75" customHeight="1">
      <c r="A106" s="24" t="s">
        <v>2300</v>
      </c>
      <c r="B106" s="25" t="s">
        <v>2301</v>
      </c>
      <c r="C106" s="25"/>
      <c r="D106" s="25"/>
      <c r="E106" s="26" t="s">
        <v>2302</v>
      </c>
      <c r="F106" s="26"/>
      <c r="G106" s="26"/>
      <c r="H106" s="26"/>
      <c r="I106" s="26"/>
      <c r="J106" s="27" t="s">
        <v>2056</v>
      </c>
      <c r="K106" s="27"/>
      <c r="L106" s="27"/>
      <c r="M106" s="27"/>
      <c r="N106" s="28">
        <f>2002</f>
        <v>2002</v>
      </c>
      <c r="O106" s="28"/>
      <c r="P106" s="28"/>
      <c r="Q106" s="27" t="s">
        <v>2032</v>
      </c>
      <c r="R106" s="27"/>
      <c r="S106" s="29" t="s">
        <v>2032</v>
      </c>
      <c r="T106" s="29"/>
      <c r="U106" s="29"/>
      <c r="V106" s="29"/>
      <c r="W106" s="30" t="s">
        <v>2032</v>
      </c>
      <c r="X106" s="29" t="s">
        <v>2032</v>
      </c>
      <c r="Y106" s="29"/>
      <c r="Z106" s="29"/>
      <c r="AA106" s="29"/>
      <c r="AB106" s="27" t="s">
        <v>2056</v>
      </c>
      <c r="AC106" s="27"/>
      <c r="AD106" s="27"/>
      <c r="AE106" s="31">
        <f>2002</f>
        <v>2002</v>
      </c>
      <c r="AF106" s="31"/>
      <c r="AG106" s="31"/>
    </row>
    <row r="107" spans="1:33" s="1" customFormat="1" ht="18.75" customHeight="1">
      <c r="A107" s="24" t="s">
        <v>2303</v>
      </c>
      <c r="B107" s="25" t="s">
        <v>2304</v>
      </c>
      <c r="C107" s="25"/>
      <c r="D107" s="25"/>
      <c r="E107" s="26" t="s">
        <v>2305</v>
      </c>
      <c r="F107" s="26"/>
      <c r="G107" s="26"/>
      <c r="H107" s="26"/>
      <c r="I107" s="26"/>
      <c r="J107" s="27" t="s">
        <v>2056</v>
      </c>
      <c r="K107" s="27"/>
      <c r="L107" s="27"/>
      <c r="M107" s="27"/>
      <c r="N107" s="28">
        <f>2002</f>
        <v>2002</v>
      </c>
      <c r="O107" s="28"/>
      <c r="P107" s="28"/>
      <c r="Q107" s="27" t="s">
        <v>2032</v>
      </c>
      <c r="R107" s="27"/>
      <c r="S107" s="29" t="s">
        <v>2032</v>
      </c>
      <c r="T107" s="29"/>
      <c r="U107" s="29"/>
      <c r="V107" s="29"/>
      <c r="W107" s="30" t="s">
        <v>2032</v>
      </c>
      <c r="X107" s="29" t="s">
        <v>2032</v>
      </c>
      <c r="Y107" s="29"/>
      <c r="Z107" s="29"/>
      <c r="AA107" s="29"/>
      <c r="AB107" s="27" t="s">
        <v>2056</v>
      </c>
      <c r="AC107" s="27"/>
      <c r="AD107" s="27"/>
      <c r="AE107" s="31">
        <f>2002</f>
        <v>2002</v>
      </c>
      <c r="AF107" s="31"/>
      <c r="AG107" s="31"/>
    </row>
    <row r="108" spans="1:33" s="1" customFormat="1" ht="18.75" customHeight="1">
      <c r="A108" s="24" t="s">
        <v>2306</v>
      </c>
      <c r="B108" s="25" t="s">
        <v>2307</v>
      </c>
      <c r="C108" s="25"/>
      <c r="D108" s="25"/>
      <c r="E108" s="26" t="s">
        <v>2308</v>
      </c>
      <c r="F108" s="26"/>
      <c r="G108" s="26"/>
      <c r="H108" s="26"/>
      <c r="I108" s="26"/>
      <c r="J108" s="27" t="s">
        <v>2056</v>
      </c>
      <c r="K108" s="27"/>
      <c r="L108" s="27"/>
      <c r="M108" s="27"/>
      <c r="N108" s="28">
        <f>480</f>
        <v>480</v>
      </c>
      <c r="O108" s="28"/>
      <c r="P108" s="28"/>
      <c r="Q108" s="27" t="s">
        <v>2032</v>
      </c>
      <c r="R108" s="27"/>
      <c r="S108" s="29" t="s">
        <v>2032</v>
      </c>
      <c r="T108" s="29"/>
      <c r="U108" s="29"/>
      <c r="V108" s="29"/>
      <c r="W108" s="30" t="s">
        <v>2032</v>
      </c>
      <c r="X108" s="29" t="s">
        <v>2032</v>
      </c>
      <c r="Y108" s="29"/>
      <c r="Z108" s="29"/>
      <c r="AA108" s="29"/>
      <c r="AB108" s="27" t="s">
        <v>2056</v>
      </c>
      <c r="AC108" s="27"/>
      <c r="AD108" s="27"/>
      <c r="AE108" s="31">
        <f>480</f>
        <v>480</v>
      </c>
      <c r="AF108" s="31"/>
      <c r="AG108" s="31"/>
    </row>
    <row r="109" spans="1:33" s="1" customFormat="1" ht="33" customHeight="1">
      <c r="A109" s="24" t="s">
        <v>2309</v>
      </c>
      <c r="B109" s="25" t="s">
        <v>2310</v>
      </c>
      <c r="C109" s="25"/>
      <c r="D109" s="25"/>
      <c r="E109" s="26" t="s">
        <v>2311</v>
      </c>
      <c r="F109" s="26"/>
      <c r="G109" s="26"/>
      <c r="H109" s="26"/>
      <c r="I109" s="26"/>
      <c r="J109" s="27" t="s">
        <v>2056</v>
      </c>
      <c r="K109" s="27"/>
      <c r="L109" s="27"/>
      <c r="M109" s="27"/>
      <c r="N109" s="28">
        <f>2530</f>
        <v>2530</v>
      </c>
      <c r="O109" s="28"/>
      <c r="P109" s="28"/>
      <c r="Q109" s="27" t="s">
        <v>2032</v>
      </c>
      <c r="R109" s="27"/>
      <c r="S109" s="29" t="s">
        <v>2032</v>
      </c>
      <c r="T109" s="29"/>
      <c r="U109" s="29"/>
      <c r="V109" s="29"/>
      <c r="W109" s="30" t="s">
        <v>2032</v>
      </c>
      <c r="X109" s="29" t="s">
        <v>2032</v>
      </c>
      <c r="Y109" s="29"/>
      <c r="Z109" s="29"/>
      <c r="AA109" s="29"/>
      <c r="AB109" s="27" t="s">
        <v>2056</v>
      </c>
      <c r="AC109" s="27"/>
      <c r="AD109" s="27"/>
      <c r="AE109" s="31">
        <f>2530</f>
        <v>2530</v>
      </c>
      <c r="AF109" s="31"/>
      <c r="AG109" s="31"/>
    </row>
    <row r="110" spans="1:33" s="1" customFormat="1" ht="18.75" customHeight="1">
      <c r="A110" s="24" t="s">
        <v>2312</v>
      </c>
      <c r="B110" s="25" t="s">
        <v>2313</v>
      </c>
      <c r="C110" s="25"/>
      <c r="D110" s="25"/>
      <c r="E110" s="26" t="s">
        <v>2314</v>
      </c>
      <c r="F110" s="26"/>
      <c r="G110" s="26"/>
      <c r="H110" s="26"/>
      <c r="I110" s="26"/>
      <c r="J110" s="27" t="s">
        <v>2056</v>
      </c>
      <c r="K110" s="27"/>
      <c r="L110" s="27"/>
      <c r="M110" s="27"/>
      <c r="N110" s="28">
        <f>2277</f>
        <v>2277</v>
      </c>
      <c r="O110" s="28"/>
      <c r="P110" s="28"/>
      <c r="Q110" s="27" t="s">
        <v>2032</v>
      </c>
      <c r="R110" s="27"/>
      <c r="S110" s="29" t="s">
        <v>2032</v>
      </c>
      <c r="T110" s="29"/>
      <c r="U110" s="29"/>
      <c r="V110" s="29"/>
      <c r="W110" s="30" t="s">
        <v>2032</v>
      </c>
      <c r="X110" s="29" t="s">
        <v>2032</v>
      </c>
      <c r="Y110" s="29"/>
      <c r="Z110" s="29"/>
      <c r="AA110" s="29"/>
      <c r="AB110" s="27" t="s">
        <v>2056</v>
      </c>
      <c r="AC110" s="27"/>
      <c r="AD110" s="27"/>
      <c r="AE110" s="31">
        <f>2277</f>
        <v>2277</v>
      </c>
      <c r="AF110" s="31"/>
      <c r="AG110" s="31"/>
    </row>
    <row r="111" spans="1:33" s="1" customFormat="1" ht="33" customHeight="1">
      <c r="A111" s="24" t="s">
        <v>2315</v>
      </c>
      <c r="B111" s="25" t="s">
        <v>2316</v>
      </c>
      <c r="C111" s="25"/>
      <c r="D111" s="25"/>
      <c r="E111" s="26" t="s">
        <v>2317</v>
      </c>
      <c r="F111" s="26"/>
      <c r="G111" s="26"/>
      <c r="H111" s="26"/>
      <c r="I111" s="26"/>
      <c r="J111" s="27" t="s">
        <v>2056</v>
      </c>
      <c r="K111" s="27"/>
      <c r="L111" s="27"/>
      <c r="M111" s="27"/>
      <c r="N111" s="28">
        <f>2277</f>
        <v>2277</v>
      </c>
      <c r="O111" s="28"/>
      <c r="P111" s="28"/>
      <c r="Q111" s="27" t="s">
        <v>2032</v>
      </c>
      <c r="R111" s="27"/>
      <c r="S111" s="29" t="s">
        <v>2032</v>
      </c>
      <c r="T111" s="29"/>
      <c r="U111" s="29"/>
      <c r="V111" s="29"/>
      <c r="W111" s="30" t="s">
        <v>2032</v>
      </c>
      <c r="X111" s="29" t="s">
        <v>2032</v>
      </c>
      <c r="Y111" s="29"/>
      <c r="Z111" s="29"/>
      <c r="AA111" s="29"/>
      <c r="AB111" s="27" t="s">
        <v>2056</v>
      </c>
      <c r="AC111" s="27"/>
      <c r="AD111" s="27"/>
      <c r="AE111" s="31">
        <f>2277</f>
        <v>2277</v>
      </c>
      <c r="AF111" s="31"/>
      <c r="AG111" s="31"/>
    </row>
    <row r="112" spans="1:33" s="1" customFormat="1" ht="18.75" customHeight="1">
      <c r="A112" s="24" t="s">
        <v>2318</v>
      </c>
      <c r="B112" s="25" t="s">
        <v>2319</v>
      </c>
      <c r="C112" s="25"/>
      <c r="D112" s="25"/>
      <c r="E112" s="26" t="s">
        <v>2320</v>
      </c>
      <c r="F112" s="26"/>
      <c r="G112" s="26"/>
      <c r="H112" s="26"/>
      <c r="I112" s="26"/>
      <c r="J112" s="27" t="s">
        <v>2056</v>
      </c>
      <c r="K112" s="27"/>
      <c r="L112" s="27"/>
      <c r="M112" s="27"/>
      <c r="N112" s="28">
        <f>1166</f>
        <v>1166</v>
      </c>
      <c r="O112" s="28"/>
      <c r="P112" s="28"/>
      <c r="Q112" s="27" t="s">
        <v>2032</v>
      </c>
      <c r="R112" s="27"/>
      <c r="S112" s="29" t="s">
        <v>2032</v>
      </c>
      <c r="T112" s="29"/>
      <c r="U112" s="29"/>
      <c r="V112" s="29"/>
      <c r="W112" s="30" t="s">
        <v>2032</v>
      </c>
      <c r="X112" s="29" t="s">
        <v>2032</v>
      </c>
      <c r="Y112" s="29"/>
      <c r="Z112" s="29"/>
      <c r="AA112" s="29"/>
      <c r="AB112" s="27" t="s">
        <v>2056</v>
      </c>
      <c r="AC112" s="27"/>
      <c r="AD112" s="27"/>
      <c r="AE112" s="31">
        <f>1166</f>
        <v>1166</v>
      </c>
      <c r="AF112" s="31"/>
      <c r="AG112" s="31"/>
    </row>
    <row r="113" spans="1:33" s="1" customFormat="1" ht="33" customHeight="1">
      <c r="A113" s="24" t="s">
        <v>2321</v>
      </c>
      <c r="B113" s="25" t="s">
        <v>2322</v>
      </c>
      <c r="C113" s="25"/>
      <c r="D113" s="25"/>
      <c r="E113" s="26" t="s">
        <v>2323</v>
      </c>
      <c r="F113" s="26"/>
      <c r="G113" s="26"/>
      <c r="H113" s="26"/>
      <c r="I113" s="26"/>
      <c r="J113" s="27" t="s">
        <v>2056</v>
      </c>
      <c r="K113" s="27"/>
      <c r="L113" s="27"/>
      <c r="M113" s="27"/>
      <c r="N113" s="28">
        <f>1507</f>
        <v>1507</v>
      </c>
      <c r="O113" s="28"/>
      <c r="P113" s="28"/>
      <c r="Q113" s="27" t="s">
        <v>2032</v>
      </c>
      <c r="R113" s="27"/>
      <c r="S113" s="29" t="s">
        <v>2032</v>
      </c>
      <c r="T113" s="29"/>
      <c r="U113" s="29"/>
      <c r="V113" s="29"/>
      <c r="W113" s="30" t="s">
        <v>2032</v>
      </c>
      <c r="X113" s="29" t="s">
        <v>2032</v>
      </c>
      <c r="Y113" s="29"/>
      <c r="Z113" s="29"/>
      <c r="AA113" s="29"/>
      <c r="AB113" s="27" t="s">
        <v>2056</v>
      </c>
      <c r="AC113" s="27"/>
      <c r="AD113" s="27"/>
      <c r="AE113" s="31">
        <f>1507</f>
        <v>1507</v>
      </c>
      <c r="AF113" s="31"/>
      <c r="AG113" s="31"/>
    </row>
    <row r="114" spans="1:33" s="1" customFormat="1" ht="18.75" customHeight="1">
      <c r="A114" s="24" t="s">
        <v>2324</v>
      </c>
      <c r="B114" s="25" t="s">
        <v>2325</v>
      </c>
      <c r="C114" s="25"/>
      <c r="D114" s="25"/>
      <c r="E114" s="26" t="s">
        <v>2326</v>
      </c>
      <c r="F114" s="26"/>
      <c r="G114" s="26"/>
      <c r="H114" s="26"/>
      <c r="I114" s="26"/>
      <c r="J114" s="27" t="s">
        <v>2056</v>
      </c>
      <c r="K114" s="27"/>
      <c r="L114" s="27"/>
      <c r="M114" s="27"/>
      <c r="N114" s="28">
        <f>1265</f>
        <v>1265</v>
      </c>
      <c r="O114" s="28"/>
      <c r="P114" s="28"/>
      <c r="Q114" s="27" t="s">
        <v>2032</v>
      </c>
      <c r="R114" s="27"/>
      <c r="S114" s="29" t="s">
        <v>2032</v>
      </c>
      <c r="T114" s="29"/>
      <c r="U114" s="29"/>
      <c r="V114" s="29"/>
      <c r="W114" s="30" t="s">
        <v>2032</v>
      </c>
      <c r="X114" s="29" t="s">
        <v>2032</v>
      </c>
      <c r="Y114" s="29"/>
      <c r="Z114" s="29"/>
      <c r="AA114" s="29"/>
      <c r="AB114" s="27" t="s">
        <v>2056</v>
      </c>
      <c r="AC114" s="27"/>
      <c r="AD114" s="27"/>
      <c r="AE114" s="31">
        <f>1265</f>
        <v>1265</v>
      </c>
      <c r="AF114" s="31"/>
      <c r="AG114" s="31"/>
    </row>
    <row r="115" spans="1:33" s="1" customFormat="1" ht="33" customHeight="1">
      <c r="A115" s="24" t="s">
        <v>2327</v>
      </c>
      <c r="B115" s="25" t="s">
        <v>2328</v>
      </c>
      <c r="C115" s="25"/>
      <c r="D115" s="25"/>
      <c r="E115" s="26" t="s">
        <v>2329</v>
      </c>
      <c r="F115" s="26"/>
      <c r="G115" s="26"/>
      <c r="H115" s="26"/>
      <c r="I115" s="26"/>
      <c r="J115" s="27" t="s">
        <v>2056</v>
      </c>
      <c r="K115" s="27"/>
      <c r="L115" s="27"/>
      <c r="M115" s="27"/>
      <c r="N115" s="28">
        <f>1734</f>
        <v>1734</v>
      </c>
      <c r="O115" s="28"/>
      <c r="P115" s="28"/>
      <c r="Q115" s="27" t="s">
        <v>2032</v>
      </c>
      <c r="R115" s="27"/>
      <c r="S115" s="29" t="s">
        <v>2032</v>
      </c>
      <c r="T115" s="29"/>
      <c r="U115" s="29"/>
      <c r="V115" s="29"/>
      <c r="W115" s="30" t="s">
        <v>2032</v>
      </c>
      <c r="X115" s="29" t="s">
        <v>2032</v>
      </c>
      <c r="Y115" s="29"/>
      <c r="Z115" s="29"/>
      <c r="AA115" s="29"/>
      <c r="AB115" s="27" t="s">
        <v>2056</v>
      </c>
      <c r="AC115" s="27"/>
      <c r="AD115" s="27"/>
      <c r="AE115" s="31">
        <f>1734</f>
        <v>1734</v>
      </c>
      <c r="AF115" s="31"/>
      <c r="AG115" s="31"/>
    </row>
    <row r="116" spans="1:33" s="1" customFormat="1" ht="46.5" customHeight="1">
      <c r="A116" s="24" t="s">
        <v>2330</v>
      </c>
      <c r="B116" s="25" t="s">
        <v>2331</v>
      </c>
      <c r="C116" s="25"/>
      <c r="D116" s="25"/>
      <c r="E116" s="26" t="s">
        <v>2332</v>
      </c>
      <c r="F116" s="26"/>
      <c r="G116" s="26"/>
      <c r="H116" s="26"/>
      <c r="I116" s="26"/>
      <c r="J116" s="27" t="s">
        <v>2056</v>
      </c>
      <c r="K116" s="27"/>
      <c r="L116" s="27"/>
      <c r="M116" s="27"/>
      <c r="N116" s="28">
        <f>2752.5</f>
        <v>2752.5</v>
      </c>
      <c r="O116" s="28"/>
      <c r="P116" s="28"/>
      <c r="Q116" s="27" t="s">
        <v>2032</v>
      </c>
      <c r="R116" s="27"/>
      <c r="S116" s="29" t="s">
        <v>2032</v>
      </c>
      <c r="T116" s="29"/>
      <c r="U116" s="29"/>
      <c r="V116" s="29"/>
      <c r="W116" s="30" t="s">
        <v>2032</v>
      </c>
      <c r="X116" s="29" t="s">
        <v>2032</v>
      </c>
      <c r="Y116" s="29"/>
      <c r="Z116" s="29"/>
      <c r="AA116" s="29"/>
      <c r="AB116" s="27" t="s">
        <v>2056</v>
      </c>
      <c r="AC116" s="27"/>
      <c r="AD116" s="27"/>
      <c r="AE116" s="31">
        <f>2752.5</f>
        <v>2752.5</v>
      </c>
      <c r="AF116" s="31"/>
      <c r="AG116" s="31"/>
    </row>
    <row r="117" spans="1:33" s="1" customFormat="1" ht="33" customHeight="1">
      <c r="A117" s="24" t="s">
        <v>2333</v>
      </c>
      <c r="B117" s="25" t="s">
        <v>2334</v>
      </c>
      <c r="C117" s="25"/>
      <c r="D117" s="25"/>
      <c r="E117" s="26" t="s">
        <v>2335</v>
      </c>
      <c r="F117" s="26"/>
      <c r="G117" s="26"/>
      <c r="H117" s="26"/>
      <c r="I117" s="26"/>
      <c r="J117" s="27" t="s">
        <v>2056</v>
      </c>
      <c r="K117" s="27"/>
      <c r="L117" s="27"/>
      <c r="M117" s="27"/>
      <c r="N117" s="28">
        <f>2752.5</f>
        <v>2752.5</v>
      </c>
      <c r="O117" s="28"/>
      <c r="P117" s="28"/>
      <c r="Q117" s="27" t="s">
        <v>2032</v>
      </c>
      <c r="R117" s="27"/>
      <c r="S117" s="29" t="s">
        <v>2032</v>
      </c>
      <c r="T117" s="29"/>
      <c r="U117" s="29"/>
      <c r="V117" s="29"/>
      <c r="W117" s="30" t="s">
        <v>2032</v>
      </c>
      <c r="X117" s="29" t="s">
        <v>2032</v>
      </c>
      <c r="Y117" s="29"/>
      <c r="Z117" s="29"/>
      <c r="AA117" s="29"/>
      <c r="AB117" s="27" t="s">
        <v>2056</v>
      </c>
      <c r="AC117" s="27"/>
      <c r="AD117" s="27"/>
      <c r="AE117" s="31">
        <f>2752.5</f>
        <v>2752.5</v>
      </c>
      <c r="AF117" s="31"/>
      <c r="AG117" s="31"/>
    </row>
    <row r="118" spans="1:33" s="1" customFormat="1" ht="46.5" customHeight="1">
      <c r="A118" s="24" t="s">
        <v>2336</v>
      </c>
      <c r="B118" s="25" t="s">
        <v>2337</v>
      </c>
      <c r="C118" s="25"/>
      <c r="D118" s="25"/>
      <c r="E118" s="26" t="s">
        <v>2338</v>
      </c>
      <c r="F118" s="26"/>
      <c r="G118" s="26"/>
      <c r="H118" s="26"/>
      <c r="I118" s="26"/>
      <c r="J118" s="27" t="s">
        <v>2056</v>
      </c>
      <c r="K118" s="27"/>
      <c r="L118" s="27"/>
      <c r="M118" s="27"/>
      <c r="N118" s="28">
        <f>2752.5</f>
        <v>2752.5</v>
      </c>
      <c r="O118" s="28"/>
      <c r="P118" s="28"/>
      <c r="Q118" s="27" t="s">
        <v>2032</v>
      </c>
      <c r="R118" s="27"/>
      <c r="S118" s="29" t="s">
        <v>2032</v>
      </c>
      <c r="T118" s="29"/>
      <c r="U118" s="29"/>
      <c r="V118" s="29"/>
      <c r="W118" s="30" t="s">
        <v>2032</v>
      </c>
      <c r="X118" s="29" t="s">
        <v>2032</v>
      </c>
      <c r="Y118" s="29"/>
      <c r="Z118" s="29"/>
      <c r="AA118" s="29"/>
      <c r="AB118" s="27" t="s">
        <v>2056</v>
      </c>
      <c r="AC118" s="27"/>
      <c r="AD118" s="27"/>
      <c r="AE118" s="31">
        <f>2752.5</f>
        <v>2752.5</v>
      </c>
      <c r="AF118" s="31"/>
      <c r="AG118" s="31"/>
    </row>
    <row r="119" spans="1:33" s="1" customFormat="1" ht="46.5" customHeight="1">
      <c r="A119" s="24" t="s">
        <v>2339</v>
      </c>
      <c r="B119" s="25" t="s">
        <v>2340</v>
      </c>
      <c r="C119" s="25"/>
      <c r="D119" s="25"/>
      <c r="E119" s="26" t="s">
        <v>2341</v>
      </c>
      <c r="F119" s="26"/>
      <c r="G119" s="26"/>
      <c r="H119" s="26"/>
      <c r="I119" s="26"/>
      <c r="J119" s="27" t="s">
        <v>2342</v>
      </c>
      <c r="K119" s="27"/>
      <c r="L119" s="27"/>
      <c r="M119" s="27"/>
      <c r="N119" s="28">
        <f>126000</f>
        <v>126000</v>
      </c>
      <c r="O119" s="28"/>
      <c r="P119" s="28"/>
      <c r="Q119" s="27" t="s">
        <v>2032</v>
      </c>
      <c r="R119" s="27"/>
      <c r="S119" s="29" t="s">
        <v>2032</v>
      </c>
      <c r="T119" s="29"/>
      <c r="U119" s="29"/>
      <c r="V119" s="29"/>
      <c r="W119" s="30" t="s">
        <v>2032</v>
      </c>
      <c r="X119" s="29" t="s">
        <v>2032</v>
      </c>
      <c r="Y119" s="29"/>
      <c r="Z119" s="29"/>
      <c r="AA119" s="29"/>
      <c r="AB119" s="27" t="s">
        <v>2342</v>
      </c>
      <c r="AC119" s="27"/>
      <c r="AD119" s="27"/>
      <c r="AE119" s="31">
        <f>126000</f>
        <v>126000</v>
      </c>
      <c r="AF119" s="31"/>
      <c r="AG119" s="31"/>
    </row>
    <row r="120" spans="1:33" s="1" customFormat="1" ht="33" customHeight="1">
      <c r="A120" s="24" t="s">
        <v>2343</v>
      </c>
      <c r="B120" s="25" t="s">
        <v>2344</v>
      </c>
      <c r="C120" s="25"/>
      <c r="D120" s="25"/>
      <c r="E120" s="26" t="s">
        <v>2345</v>
      </c>
      <c r="F120" s="26"/>
      <c r="G120" s="26"/>
      <c r="H120" s="26"/>
      <c r="I120" s="26"/>
      <c r="J120" s="27" t="s">
        <v>2056</v>
      </c>
      <c r="K120" s="27"/>
      <c r="L120" s="27"/>
      <c r="M120" s="27"/>
      <c r="N120" s="28">
        <f>170</f>
        <v>170</v>
      </c>
      <c r="O120" s="28"/>
      <c r="P120" s="28"/>
      <c r="Q120" s="27" t="s">
        <v>2032</v>
      </c>
      <c r="R120" s="27"/>
      <c r="S120" s="29" t="s">
        <v>2032</v>
      </c>
      <c r="T120" s="29"/>
      <c r="U120" s="29"/>
      <c r="V120" s="29"/>
      <c r="W120" s="30" t="s">
        <v>2032</v>
      </c>
      <c r="X120" s="29" t="s">
        <v>2032</v>
      </c>
      <c r="Y120" s="29"/>
      <c r="Z120" s="29"/>
      <c r="AA120" s="29"/>
      <c r="AB120" s="27" t="s">
        <v>2056</v>
      </c>
      <c r="AC120" s="27"/>
      <c r="AD120" s="27"/>
      <c r="AE120" s="31">
        <f>170</f>
        <v>170</v>
      </c>
      <c r="AF120" s="31"/>
      <c r="AG120" s="31"/>
    </row>
    <row r="121" spans="1:33" s="1" customFormat="1" ht="33" customHeight="1">
      <c r="A121" s="24" t="s">
        <v>2346</v>
      </c>
      <c r="B121" s="25" t="s">
        <v>2347</v>
      </c>
      <c r="C121" s="25"/>
      <c r="D121" s="25"/>
      <c r="E121" s="26" t="s">
        <v>2348</v>
      </c>
      <c r="F121" s="26"/>
      <c r="G121" s="26"/>
      <c r="H121" s="26"/>
      <c r="I121" s="26"/>
      <c r="J121" s="27" t="s">
        <v>2056</v>
      </c>
      <c r="K121" s="27"/>
      <c r="L121" s="27"/>
      <c r="M121" s="27"/>
      <c r="N121" s="28">
        <f>170</f>
        <v>170</v>
      </c>
      <c r="O121" s="28"/>
      <c r="P121" s="28"/>
      <c r="Q121" s="27" t="s">
        <v>2032</v>
      </c>
      <c r="R121" s="27"/>
      <c r="S121" s="29" t="s">
        <v>2032</v>
      </c>
      <c r="T121" s="29"/>
      <c r="U121" s="29"/>
      <c r="V121" s="29"/>
      <c r="W121" s="30" t="s">
        <v>2032</v>
      </c>
      <c r="X121" s="29" t="s">
        <v>2032</v>
      </c>
      <c r="Y121" s="29"/>
      <c r="Z121" s="29"/>
      <c r="AA121" s="29"/>
      <c r="AB121" s="27" t="s">
        <v>2056</v>
      </c>
      <c r="AC121" s="27"/>
      <c r="AD121" s="27"/>
      <c r="AE121" s="31">
        <f>170</f>
        <v>170</v>
      </c>
      <c r="AF121" s="31"/>
      <c r="AG121" s="31"/>
    </row>
    <row r="122" spans="1:33" s="1" customFormat="1" ht="33" customHeight="1">
      <c r="A122" s="24" t="s">
        <v>2349</v>
      </c>
      <c r="B122" s="25" t="s">
        <v>2350</v>
      </c>
      <c r="C122" s="25"/>
      <c r="D122" s="25"/>
      <c r="E122" s="26" t="s">
        <v>2351</v>
      </c>
      <c r="F122" s="26"/>
      <c r="G122" s="26"/>
      <c r="H122" s="26"/>
      <c r="I122" s="26"/>
      <c r="J122" s="27" t="s">
        <v>2352</v>
      </c>
      <c r="K122" s="27"/>
      <c r="L122" s="27"/>
      <c r="M122" s="27"/>
      <c r="N122" s="28">
        <f>190080</f>
        <v>190080</v>
      </c>
      <c r="O122" s="28"/>
      <c r="P122" s="28"/>
      <c r="Q122" s="27" t="s">
        <v>2032</v>
      </c>
      <c r="R122" s="27"/>
      <c r="S122" s="29" t="s">
        <v>2032</v>
      </c>
      <c r="T122" s="29"/>
      <c r="U122" s="29"/>
      <c r="V122" s="29"/>
      <c r="W122" s="30" t="s">
        <v>2032</v>
      </c>
      <c r="X122" s="29" t="s">
        <v>2032</v>
      </c>
      <c r="Y122" s="29"/>
      <c r="Z122" s="29"/>
      <c r="AA122" s="29"/>
      <c r="AB122" s="27" t="s">
        <v>2352</v>
      </c>
      <c r="AC122" s="27"/>
      <c r="AD122" s="27"/>
      <c r="AE122" s="31">
        <f>190080</f>
        <v>190080</v>
      </c>
      <c r="AF122" s="31"/>
      <c r="AG122" s="31"/>
    </row>
    <row r="123" spans="1:33" s="1" customFormat="1" ht="46.5" customHeight="1">
      <c r="A123" s="24" t="s">
        <v>2353</v>
      </c>
      <c r="B123" s="25" t="s">
        <v>2354</v>
      </c>
      <c r="C123" s="25"/>
      <c r="D123" s="25"/>
      <c r="E123" s="26" t="s">
        <v>2355</v>
      </c>
      <c r="F123" s="26"/>
      <c r="G123" s="26"/>
      <c r="H123" s="26"/>
      <c r="I123" s="26"/>
      <c r="J123" s="27" t="s">
        <v>2059</v>
      </c>
      <c r="K123" s="27"/>
      <c r="L123" s="27"/>
      <c r="M123" s="27"/>
      <c r="N123" s="28">
        <f>1120</f>
        <v>1120</v>
      </c>
      <c r="O123" s="28"/>
      <c r="P123" s="28"/>
      <c r="Q123" s="27" t="s">
        <v>2032</v>
      </c>
      <c r="R123" s="27"/>
      <c r="S123" s="29" t="s">
        <v>2032</v>
      </c>
      <c r="T123" s="29"/>
      <c r="U123" s="29"/>
      <c r="V123" s="29"/>
      <c r="W123" s="30" t="s">
        <v>2032</v>
      </c>
      <c r="X123" s="29" t="s">
        <v>2032</v>
      </c>
      <c r="Y123" s="29"/>
      <c r="Z123" s="29"/>
      <c r="AA123" s="29"/>
      <c r="AB123" s="27" t="s">
        <v>2059</v>
      </c>
      <c r="AC123" s="27"/>
      <c r="AD123" s="27"/>
      <c r="AE123" s="31">
        <f>1120</f>
        <v>1120</v>
      </c>
      <c r="AF123" s="31"/>
      <c r="AG123" s="31"/>
    </row>
    <row r="124" spans="1:33" s="1" customFormat="1" ht="33" customHeight="1">
      <c r="A124" s="24" t="s">
        <v>2356</v>
      </c>
      <c r="B124" s="25" t="s">
        <v>2357</v>
      </c>
      <c r="C124" s="25"/>
      <c r="D124" s="25"/>
      <c r="E124" s="26" t="s">
        <v>2358</v>
      </c>
      <c r="F124" s="26"/>
      <c r="G124" s="26"/>
      <c r="H124" s="26"/>
      <c r="I124" s="26"/>
      <c r="J124" s="27" t="s">
        <v>2056</v>
      </c>
      <c r="K124" s="27"/>
      <c r="L124" s="27"/>
      <c r="M124" s="27"/>
      <c r="N124" s="28">
        <f>170</f>
        <v>170</v>
      </c>
      <c r="O124" s="28"/>
      <c r="P124" s="28"/>
      <c r="Q124" s="27" t="s">
        <v>2032</v>
      </c>
      <c r="R124" s="27"/>
      <c r="S124" s="29" t="s">
        <v>2032</v>
      </c>
      <c r="T124" s="29"/>
      <c r="U124" s="29"/>
      <c r="V124" s="29"/>
      <c r="W124" s="30" t="s">
        <v>2032</v>
      </c>
      <c r="X124" s="29" t="s">
        <v>2032</v>
      </c>
      <c r="Y124" s="29"/>
      <c r="Z124" s="29"/>
      <c r="AA124" s="29"/>
      <c r="AB124" s="27" t="s">
        <v>2056</v>
      </c>
      <c r="AC124" s="27"/>
      <c r="AD124" s="27"/>
      <c r="AE124" s="31">
        <f>170</f>
        <v>170</v>
      </c>
      <c r="AF124" s="31"/>
      <c r="AG124" s="31"/>
    </row>
    <row r="125" spans="1:33" s="1" customFormat="1" ht="46.5" customHeight="1">
      <c r="A125" s="24" t="s">
        <v>2359</v>
      </c>
      <c r="B125" s="25" t="s">
        <v>2360</v>
      </c>
      <c r="C125" s="25"/>
      <c r="D125" s="25"/>
      <c r="E125" s="26" t="s">
        <v>2361</v>
      </c>
      <c r="F125" s="26"/>
      <c r="G125" s="26"/>
      <c r="H125" s="26"/>
      <c r="I125" s="26"/>
      <c r="J125" s="27" t="s">
        <v>2056</v>
      </c>
      <c r="K125" s="27"/>
      <c r="L125" s="27"/>
      <c r="M125" s="27"/>
      <c r="N125" s="28">
        <f>170</f>
        <v>170</v>
      </c>
      <c r="O125" s="28"/>
      <c r="P125" s="28"/>
      <c r="Q125" s="27" t="s">
        <v>2032</v>
      </c>
      <c r="R125" s="27"/>
      <c r="S125" s="29" t="s">
        <v>2032</v>
      </c>
      <c r="T125" s="29"/>
      <c r="U125" s="29"/>
      <c r="V125" s="29"/>
      <c r="W125" s="30" t="s">
        <v>2032</v>
      </c>
      <c r="X125" s="29" t="s">
        <v>2032</v>
      </c>
      <c r="Y125" s="29"/>
      <c r="Z125" s="29"/>
      <c r="AA125" s="29"/>
      <c r="AB125" s="27" t="s">
        <v>2056</v>
      </c>
      <c r="AC125" s="27"/>
      <c r="AD125" s="27"/>
      <c r="AE125" s="31">
        <f>170</f>
        <v>170</v>
      </c>
      <c r="AF125" s="31"/>
      <c r="AG125" s="31"/>
    </row>
    <row r="126" spans="1:33" s="1" customFormat="1" ht="61.5" customHeight="1">
      <c r="A126" s="24" t="s">
        <v>2362</v>
      </c>
      <c r="B126" s="25" t="s">
        <v>2363</v>
      </c>
      <c r="C126" s="25"/>
      <c r="D126" s="25"/>
      <c r="E126" s="26" t="s">
        <v>2364</v>
      </c>
      <c r="F126" s="26"/>
      <c r="G126" s="26"/>
      <c r="H126" s="26"/>
      <c r="I126" s="26"/>
      <c r="J126" s="27" t="s">
        <v>2056</v>
      </c>
      <c r="K126" s="27"/>
      <c r="L126" s="27"/>
      <c r="M126" s="27"/>
      <c r="N126" s="28">
        <f>170</f>
        <v>170</v>
      </c>
      <c r="O126" s="28"/>
      <c r="P126" s="28"/>
      <c r="Q126" s="27" t="s">
        <v>2032</v>
      </c>
      <c r="R126" s="27"/>
      <c r="S126" s="29" t="s">
        <v>2032</v>
      </c>
      <c r="T126" s="29"/>
      <c r="U126" s="29"/>
      <c r="V126" s="29"/>
      <c r="W126" s="30" t="s">
        <v>2032</v>
      </c>
      <c r="X126" s="29" t="s">
        <v>2032</v>
      </c>
      <c r="Y126" s="29"/>
      <c r="Z126" s="29"/>
      <c r="AA126" s="29"/>
      <c r="AB126" s="27" t="s">
        <v>2056</v>
      </c>
      <c r="AC126" s="27"/>
      <c r="AD126" s="27"/>
      <c r="AE126" s="31">
        <f>170</f>
        <v>170</v>
      </c>
      <c r="AF126" s="31"/>
      <c r="AG126" s="31"/>
    </row>
    <row r="127" spans="1:33" s="1" customFormat="1" ht="46.5" customHeight="1">
      <c r="A127" s="24" t="s">
        <v>2365</v>
      </c>
      <c r="B127" s="25" t="s">
        <v>2366</v>
      </c>
      <c r="C127" s="25"/>
      <c r="D127" s="25"/>
      <c r="E127" s="26" t="s">
        <v>2367</v>
      </c>
      <c r="F127" s="26"/>
      <c r="G127" s="26"/>
      <c r="H127" s="26"/>
      <c r="I127" s="26"/>
      <c r="J127" s="27" t="s">
        <v>2056</v>
      </c>
      <c r="K127" s="27"/>
      <c r="L127" s="27"/>
      <c r="M127" s="27"/>
      <c r="N127" s="28">
        <f aca="true" t="shared" si="6" ref="N127:N159">2500</f>
        <v>2500</v>
      </c>
      <c r="O127" s="28"/>
      <c r="P127" s="28"/>
      <c r="Q127" s="27" t="s">
        <v>2032</v>
      </c>
      <c r="R127" s="27"/>
      <c r="S127" s="29" t="s">
        <v>2032</v>
      </c>
      <c r="T127" s="29"/>
      <c r="U127" s="29"/>
      <c r="V127" s="29"/>
      <c r="W127" s="30" t="s">
        <v>2032</v>
      </c>
      <c r="X127" s="29" t="s">
        <v>2032</v>
      </c>
      <c r="Y127" s="29"/>
      <c r="Z127" s="29"/>
      <c r="AA127" s="29"/>
      <c r="AB127" s="27" t="s">
        <v>2056</v>
      </c>
      <c r="AC127" s="27"/>
      <c r="AD127" s="27"/>
      <c r="AE127" s="31">
        <f aca="true" t="shared" si="7" ref="AE127:AE159">2500</f>
        <v>2500</v>
      </c>
      <c r="AF127" s="31"/>
      <c r="AG127" s="31"/>
    </row>
    <row r="128" spans="1:33" s="1" customFormat="1" ht="46.5" customHeight="1">
      <c r="A128" s="24" t="s">
        <v>2368</v>
      </c>
      <c r="B128" s="25" t="s">
        <v>2369</v>
      </c>
      <c r="C128" s="25"/>
      <c r="D128" s="25"/>
      <c r="E128" s="26" t="s">
        <v>2370</v>
      </c>
      <c r="F128" s="26"/>
      <c r="G128" s="26"/>
      <c r="H128" s="26"/>
      <c r="I128" s="26"/>
      <c r="J128" s="27" t="s">
        <v>2056</v>
      </c>
      <c r="K128" s="27"/>
      <c r="L128" s="27"/>
      <c r="M128" s="27"/>
      <c r="N128" s="28">
        <f t="shared" si="6"/>
        <v>2500</v>
      </c>
      <c r="O128" s="28"/>
      <c r="P128" s="28"/>
      <c r="Q128" s="27" t="s">
        <v>2032</v>
      </c>
      <c r="R128" s="27"/>
      <c r="S128" s="29" t="s">
        <v>2032</v>
      </c>
      <c r="T128" s="29"/>
      <c r="U128" s="29"/>
      <c r="V128" s="29"/>
      <c r="W128" s="30" t="s">
        <v>2032</v>
      </c>
      <c r="X128" s="29" t="s">
        <v>2032</v>
      </c>
      <c r="Y128" s="29"/>
      <c r="Z128" s="29"/>
      <c r="AA128" s="29"/>
      <c r="AB128" s="27" t="s">
        <v>2056</v>
      </c>
      <c r="AC128" s="27"/>
      <c r="AD128" s="27"/>
      <c r="AE128" s="31">
        <f t="shared" si="7"/>
        <v>2500</v>
      </c>
      <c r="AF128" s="31"/>
      <c r="AG128" s="31"/>
    </row>
    <row r="129" spans="1:33" s="1" customFormat="1" ht="46.5" customHeight="1">
      <c r="A129" s="24" t="s">
        <v>2371</v>
      </c>
      <c r="B129" s="25" t="s">
        <v>2372</v>
      </c>
      <c r="C129" s="25"/>
      <c r="D129" s="25"/>
      <c r="E129" s="26" t="s">
        <v>2370</v>
      </c>
      <c r="F129" s="26"/>
      <c r="G129" s="26"/>
      <c r="H129" s="26"/>
      <c r="I129" s="26"/>
      <c r="J129" s="27" t="s">
        <v>2056</v>
      </c>
      <c r="K129" s="27"/>
      <c r="L129" s="27"/>
      <c r="M129" s="27"/>
      <c r="N129" s="28">
        <f t="shared" si="6"/>
        <v>2500</v>
      </c>
      <c r="O129" s="28"/>
      <c r="P129" s="28"/>
      <c r="Q129" s="27" t="s">
        <v>2032</v>
      </c>
      <c r="R129" s="27"/>
      <c r="S129" s="29" t="s">
        <v>2032</v>
      </c>
      <c r="T129" s="29"/>
      <c r="U129" s="29"/>
      <c r="V129" s="29"/>
      <c r="W129" s="30" t="s">
        <v>2032</v>
      </c>
      <c r="X129" s="29" t="s">
        <v>2032</v>
      </c>
      <c r="Y129" s="29"/>
      <c r="Z129" s="29"/>
      <c r="AA129" s="29"/>
      <c r="AB129" s="27" t="s">
        <v>2056</v>
      </c>
      <c r="AC129" s="27"/>
      <c r="AD129" s="27"/>
      <c r="AE129" s="31">
        <f t="shared" si="7"/>
        <v>2500</v>
      </c>
      <c r="AF129" s="31"/>
      <c r="AG129" s="31"/>
    </row>
    <row r="130" spans="1:33" s="1" customFormat="1" ht="46.5" customHeight="1">
      <c r="A130" s="24" t="s">
        <v>2373</v>
      </c>
      <c r="B130" s="25" t="s">
        <v>2374</v>
      </c>
      <c r="C130" s="25"/>
      <c r="D130" s="25"/>
      <c r="E130" s="26" t="s">
        <v>2375</v>
      </c>
      <c r="F130" s="26"/>
      <c r="G130" s="26"/>
      <c r="H130" s="26"/>
      <c r="I130" s="26"/>
      <c r="J130" s="27" t="s">
        <v>2056</v>
      </c>
      <c r="K130" s="27"/>
      <c r="L130" s="27"/>
      <c r="M130" s="27"/>
      <c r="N130" s="28">
        <f t="shared" si="6"/>
        <v>2500</v>
      </c>
      <c r="O130" s="28"/>
      <c r="P130" s="28"/>
      <c r="Q130" s="27" t="s">
        <v>2032</v>
      </c>
      <c r="R130" s="27"/>
      <c r="S130" s="29" t="s">
        <v>2032</v>
      </c>
      <c r="T130" s="29"/>
      <c r="U130" s="29"/>
      <c r="V130" s="29"/>
      <c r="W130" s="30" t="s">
        <v>2032</v>
      </c>
      <c r="X130" s="29" t="s">
        <v>2032</v>
      </c>
      <c r="Y130" s="29"/>
      <c r="Z130" s="29"/>
      <c r="AA130" s="29"/>
      <c r="AB130" s="27" t="s">
        <v>2056</v>
      </c>
      <c r="AC130" s="27"/>
      <c r="AD130" s="27"/>
      <c r="AE130" s="31">
        <f t="shared" si="7"/>
        <v>2500</v>
      </c>
      <c r="AF130" s="31"/>
      <c r="AG130" s="31"/>
    </row>
    <row r="131" spans="1:33" s="1" customFormat="1" ht="46.5" customHeight="1">
      <c r="A131" s="24" t="s">
        <v>2376</v>
      </c>
      <c r="B131" s="25" t="s">
        <v>2377</v>
      </c>
      <c r="C131" s="25"/>
      <c r="D131" s="25"/>
      <c r="E131" s="26" t="s">
        <v>2378</v>
      </c>
      <c r="F131" s="26"/>
      <c r="G131" s="26"/>
      <c r="H131" s="26"/>
      <c r="I131" s="26"/>
      <c r="J131" s="27" t="s">
        <v>2056</v>
      </c>
      <c r="K131" s="27"/>
      <c r="L131" s="27"/>
      <c r="M131" s="27"/>
      <c r="N131" s="28">
        <f t="shared" si="6"/>
        <v>2500</v>
      </c>
      <c r="O131" s="28"/>
      <c r="P131" s="28"/>
      <c r="Q131" s="27" t="s">
        <v>2032</v>
      </c>
      <c r="R131" s="27"/>
      <c r="S131" s="29" t="s">
        <v>2032</v>
      </c>
      <c r="T131" s="29"/>
      <c r="U131" s="29"/>
      <c r="V131" s="29"/>
      <c r="W131" s="30" t="s">
        <v>2032</v>
      </c>
      <c r="X131" s="29" t="s">
        <v>2032</v>
      </c>
      <c r="Y131" s="29"/>
      <c r="Z131" s="29"/>
      <c r="AA131" s="29"/>
      <c r="AB131" s="27" t="s">
        <v>2056</v>
      </c>
      <c r="AC131" s="27"/>
      <c r="AD131" s="27"/>
      <c r="AE131" s="31">
        <f t="shared" si="7"/>
        <v>2500</v>
      </c>
      <c r="AF131" s="31"/>
      <c r="AG131" s="31"/>
    </row>
    <row r="132" spans="1:33" s="1" customFormat="1" ht="46.5" customHeight="1">
      <c r="A132" s="24" t="s">
        <v>2379</v>
      </c>
      <c r="B132" s="25" t="s">
        <v>2380</v>
      </c>
      <c r="C132" s="25"/>
      <c r="D132" s="25"/>
      <c r="E132" s="26" t="s">
        <v>2378</v>
      </c>
      <c r="F132" s="26"/>
      <c r="G132" s="26"/>
      <c r="H132" s="26"/>
      <c r="I132" s="26"/>
      <c r="J132" s="27" t="s">
        <v>2056</v>
      </c>
      <c r="K132" s="27"/>
      <c r="L132" s="27"/>
      <c r="M132" s="27"/>
      <c r="N132" s="28">
        <f t="shared" si="6"/>
        <v>2500</v>
      </c>
      <c r="O132" s="28"/>
      <c r="P132" s="28"/>
      <c r="Q132" s="27" t="s">
        <v>2032</v>
      </c>
      <c r="R132" s="27"/>
      <c r="S132" s="29" t="s">
        <v>2032</v>
      </c>
      <c r="T132" s="29"/>
      <c r="U132" s="29"/>
      <c r="V132" s="29"/>
      <c r="W132" s="30" t="s">
        <v>2032</v>
      </c>
      <c r="X132" s="29" t="s">
        <v>2032</v>
      </c>
      <c r="Y132" s="29"/>
      <c r="Z132" s="29"/>
      <c r="AA132" s="29"/>
      <c r="AB132" s="27" t="s">
        <v>2056</v>
      </c>
      <c r="AC132" s="27"/>
      <c r="AD132" s="27"/>
      <c r="AE132" s="31">
        <f t="shared" si="7"/>
        <v>2500</v>
      </c>
      <c r="AF132" s="31"/>
      <c r="AG132" s="31"/>
    </row>
    <row r="133" spans="1:33" s="1" customFormat="1" ht="46.5" customHeight="1">
      <c r="A133" s="24" t="s">
        <v>2381</v>
      </c>
      <c r="B133" s="25" t="s">
        <v>2382</v>
      </c>
      <c r="C133" s="25"/>
      <c r="D133" s="25"/>
      <c r="E133" s="26" t="s">
        <v>2378</v>
      </c>
      <c r="F133" s="26"/>
      <c r="G133" s="26"/>
      <c r="H133" s="26"/>
      <c r="I133" s="26"/>
      <c r="J133" s="27" t="s">
        <v>2056</v>
      </c>
      <c r="K133" s="27"/>
      <c r="L133" s="27"/>
      <c r="M133" s="27"/>
      <c r="N133" s="28">
        <f t="shared" si="6"/>
        <v>2500</v>
      </c>
      <c r="O133" s="28"/>
      <c r="P133" s="28"/>
      <c r="Q133" s="27" t="s">
        <v>2032</v>
      </c>
      <c r="R133" s="27"/>
      <c r="S133" s="29" t="s">
        <v>2032</v>
      </c>
      <c r="T133" s="29"/>
      <c r="U133" s="29"/>
      <c r="V133" s="29"/>
      <c r="W133" s="30" t="s">
        <v>2032</v>
      </c>
      <c r="X133" s="29" t="s">
        <v>2032</v>
      </c>
      <c r="Y133" s="29"/>
      <c r="Z133" s="29"/>
      <c r="AA133" s="29"/>
      <c r="AB133" s="27" t="s">
        <v>2056</v>
      </c>
      <c r="AC133" s="27"/>
      <c r="AD133" s="27"/>
      <c r="AE133" s="31">
        <f t="shared" si="7"/>
        <v>2500</v>
      </c>
      <c r="AF133" s="31"/>
      <c r="AG133" s="31"/>
    </row>
    <row r="134" spans="1:33" s="1" customFormat="1" ht="46.5" customHeight="1">
      <c r="A134" s="24" t="s">
        <v>2383</v>
      </c>
      <c r="B134" s="25" t="s">
        <v>2384</v>
      </c>
      <c r="C134" s="25"/>
      <c r="D134" s="25"/>
      <c r="E134" s="26" t="s">
        <v>2378</v>
      </c>
      <c r="F134" s="26"/>
      <c r="G134" s="26"/>
      <c r="H134" s="26"/>
      <c r="I134" s="26"/>
      <c r="J134" s="27" t="s">
        <v>2056</v>
      </c>
      <c r="K134" s="27"/>
      <c r="L134" s="27"/>
      <c r="M134" s="27"/>
      <c r="N134" s="28">
        <f t="shared" si="6"/>
        <v>2500</v>
      </c>
      <c r="O134" s="28"/>
      <c r="P134" s="28"/>
      <c r="Q134" s="27" t="s">
        <v>2032</v>
      </c>
      <c r="R134" s="27"/>
      <c r="S134" s="29" t="s">
        <v>2032</v>
      </c>
      <c r="T134" s="29"/>
      <c r="U134" s="29"/>
      <c r="V134" s="29"/>
      <c r="W134" s="30" t="s">
        <v>2032</v>
      </c>
      <c r="X134" s="29" t="s">
        <v>2032</v>
      </c>
      <c r="Y134" s="29"/>
      <c r="Z134" s="29"/>
      <c r="AA134" s="29"/>
      <c r="AB134" s="27" t="s">
        <v>2056</v>
      </c>
      <c r="AC134" s="27"/>
      <c r="AD134" s="27"/>
      <c r="AE134" s="31">
        <f t="shared" si="7"/>
        <v>2500</v>
      </c>
      <c r="AF134" s="31"/>
      <c r="AG134" s="31"/>
    </row>
    <row r="135" spans="1:33" s="1" customFormat="1" ht="46.5" customHeight="1">
      <c r="A135" s="24" t="s">
        <v>2385</v>
      </c>
      <c r="B135" s="25" t="s">
        <v>2386</v>
      </c>
      <c r="C135" s="25"/>
      <c r="D135" s="25"/>
      <c r="E135" s="26" t="s">
        <v>2378</v>
      </c>
      <c r="F135" s="26"/>
      <c r="G135" s="26"/>
      <c r="H135" s="26"/>
      <c r="I135" s="26"/>
      <c r="J135" s="27" t="s">
        <v>2056</v>
      </c>
      <c r="K135" s="27"/>
      <c r="L135" s="27"/>
      <c r="M135" s="27"/>
      <c r="N135" s="28">
        <f t="shared" si="6"/>
        <v>2500</v>
      </c>
      <c r="O135" s="28"/>
      <c r="P135" s="28"/>
      <c r="Q135" s="27" t="s">
        <v>2032</v>
      </c>
      <c r="R135" s="27"/>
      <c r="S135" s="29" t="s">
        <v>2032</v>
      </c>
      <c r="T135" s="29"/>
      <c r="U135" s="29"/>
      <c r="V135" s="29"/>
      <c r="W135" s="30" t="s">
        <v>2032</v>
      </c>
      <c r="X135" s="29" t="s">
        <v>2032</v>
      </c>
      <c r="Y135" s="29"/>
      <c r="Z135" s="29"/>
      <c r="AA135" s="29"/>
      <c r="AB135" s="27" t="s">
        <v>2056</v>
      </c>
      <c r="AC135" s="27"/>
      <c r="AD135" s="27"/>
      <c r="AE135" s="31">
        <f t="shared" si="7"/>
        <v>2500</v>
      </c>
      <c r="AF135" s="31"/>
      <c r="AG135" s="31"/>
    </row>
    <row r="136" spans="1:33" s="1" customFormat="1" ht="46.5" customHeight="1">
      <c r="A136" s="24" t="s">
        <v>2387</v>
      </c>
      <c r="B136" s="25" t="s">
        <v>2388</v>
      </c>
      <c r="C136" s="25"/>
      <c r="D136" s="25"/>
      <c r="E136" s="26" t="s">
        <v>2378</v>
      </c>
      <c r="F136" s="26"/>
      <c r="G136" s="26"/>
      <c r="H136" s="26"/>
      <c r="I136" s="26"/>
      <c r="J136" s="27" t="s">
        <v>2056</v>
      </c>
      <c r="K136" s="27"/>
      <c r="L136" s="27"/>
      <c r="M136" s="27"/>
      <c r="N136" s="28">
        <f t="shared" si="6"/>
        <v>2500</v>
      </c>
      <c r="O136" s="28"/>
      <c r="P136" s="28"/>
      <c r="Q136" s="27" t="s">
        <v>2032</v>
      </c>
      <c r="R136" s="27"/>
      <c r="S136" s="29" t="s">
        <v>2032</v>
      </c>
      <c r="T136" s="29"/>
      <c r="U136" s="29"/>
      <c r="V136" s="29"/>
      <c r="W136" s="30" t="s">
        <v>2032</v>
      </c>
      <c r="X136" s="29" t="s">
        <v>2032</v>
      </c>
      <c r="Y136" s="29"/>
      <c r="Z136" s="29"/>
      <c r="AA136" s="29"/>
      <c r="AB136" s="27" t="s">
        <v>2056</v>
      </c>
      <c r="AC136" s="27"/>
      <c r="AD136" s="27"/>
      <c r="AE136" s="31">
        <f t="shared" si="7"/>
        <v>2500</v>
      </c>
      <c r="AF136" s="31"/>
      <c r="AG136" s="31"/>
    </row>
    <row r="137" spans="1:33" s="1" customFormat="1" ht="46.5" customHeight="1">
      <c r="A137" s="24" t="s">
        <v>2389</v>
      </c>
      <c r="B137" s="25" t="s">
        <v>2390</v>
      </c>
      <c r="C137" s="25"/>
      <c r="D137" s="25"/>
      <c r="E137" s="26" t="s">
        <v>2378</v>
      </c>
      <c r="F137" s="26"/>
      <c r="G137" s="26"/>
      <c r="H137" s="26"/>
      <c r="I137" s="26"/>
      <c r="J137" s="27" t="s">
        <v>2056</v>
      </c>
      <c r="K137" s="27"/>
      <c r="L137" s="27"/>
      <c r="M137" s="27"/>
      <c r="N137" s="28">
        <f t="shared" si="6"/>
        <v>2500</v>
      </c>
      <c r="O137" s="28"/>
      <c r="P137" s="28"/>
      <c r="Q137" s="27" t="s">
        <v>2032</v>
      </c>
      <c r="R137" s="27"/>
      <c r="S137" s="29" t="s">
        <v>2032</v>
      </c>
      <c r="T137" s="29"/>
      <c r="U137" s="29"/>
      <c r="V137" s="29"/>
      <c r="W137" s="30" t="s">
        <v>2032</v>
      </c>
      <c r="X137" s="29" t="s">
        <v>2032</v>
      </c>
      <c r="Y137" s="29"/>
      <c r="Z137" s="29"/>
      <c r="AA137" s="29"/>
      <c r="AB137" s="27" t="s">
        <v>2056</v>
      </c>
      <c r="AC137" s="27"/>
      <c r="AD137" s="27"/>
      <c r="AE137" s="31">
        <f t="shared" si="7"/>
        <v>2500</v>
      </c>
      <c r="AF137" s="31"/>
      <c r="AG137" s="31"/>
    </row>
    <row r="138" spans="1:33" s="1" customFormat="1" ht="46.5" customHeight="1">
      <c r="A138" s="24" t="s">
        <v>2391</v>
      </c>
      <c r="B138" s="25" t="s">
        <v>2392</v>
      </c>
      <c r="C138" s="25"/>
      <c r="D138" s="25"/>
      <c r="E138" s="26" t="s">
        <v>2378</v>
      </c>
      <c r="F138" s="26"/>
      <c r="G138" s="26"/>
      <c r="H138" s="26"/>
      <c r="I138" s="26"/>
      <c r="J138" s="27" t="s">
        <v>2056</v>
      </c>
      <c r="K138" s="27"/>
      <c r="L138" s="27"/>
      <c r="M138" s="27"/>
      <c r="N138" s="28">
        <f t="shared" si="6"/>
        <v>2500</v>
      </c>
      <c r="O138" s="28"/>
      <c r="P138" s="28"/>
      <c r="Q138" s="27" t="s">
        <v>2032</v>
      </c>
      <c r="R138" s="27"/>
      <c r="S138" s="29" t="s">
        <v>2032</v>
      </c>
      <c r="T138" s="29"/>
      <c r="U138" s="29"/>
      <c r="V138" s="29"/>
      <c r="W138" s="30" t="s">
        <v>2032</v>
      </c>
      <c r="X138" s="29" t="s">
        <v>2032</v>
      </c>
      <c r="Y138" s="29"/>
      <c r="Z138" s="29"/>
      <c r="AA138" s="29"/>
      <c r="AB138" s="27" t="s">
        <v>2056</v>
      </c>
      <c r="AC138" s="27"/>
      <c r="AD138" s="27"/>
      <c r="AE138" s="31">
        <f t="shared" si="7"/>
        <v>2500</v>
      </c>
      <c r="AF138" s="31"/>
      <c r="AG138" s="31"/>
    </row>
    <row r="139" spans="1:33" s="1" customFormat="1" ht="46.5" customHeight="1">
      <c r="A139" s="24" t="s">
        <v>2393</v>
      </c>
      <c r="B139" s="25" t="s">
        <v>2394</v>
      </c>
      <c r="C139" s="25"/>
      <c r="D139" s="25"/>
      <c r="E139" s="26" t="s">
        <v>2378</v>
      </c>
      <c r="F139" s="26"/>
      <c r="G139" s="26"/>
      <c r="H139" s="26"/>
      <c r="I139" s="26"/>
      <c r="J139" s="27" t="s">
        <v>2056</v>
      </c>
      <c r="K139" s="27"/>
      <c r="L139" s="27"/>
      <c r="M139" s="27"/>
      <c r="N139" s="28">
        <f t="shared" si="6"/>
        <v>2500</v>
      </c>
      <c r="O139" s="28"/>
      <c r="P139" s="28"/>
      <c r="Q139" s="27" t="s">
        <v>2032</v>
      </c>
      <c r="R139" s="27"/>
      <c r="S139" s="29" t="s">
        <v>2032</v>
      </c>
      <c r="T139" s="29"/>
      <c r="U139" s="29"/>
      <c r="V139" s="29"/>
      <c r="W139" s="30" t="s">
        <v>2032</v>
      </c>
      <c r="X139" s="29" t="s">
        <v>2032</v>
      </c>
      <c r="Y139" s="29"/>
      <c r="Z139" s="29"/>
      <c r="AA139" s="29"/>
      <c r="AB139" s="27" t="s">
        <v>2056</v>
      </c>
      <c r="AC139" s="27"/>
      <c r="AD139" s="27"/>
      <c r="AE139" s="31">
        <f t="shared" si="7"/>
        <v>2500</v>
      </c>
      <c r="AF139" s="31"/>
      <c r="AG139" s="31"/>
    </row>
    <row r="140" spans="1:33" s="1" customFormat="1" ht="46.5" customHeight="1">
      <c r="A140" s="24" t="s">
        <v>2395</v>
      </c>
      <c r="B140" s="25" t="s">
        <v>2396</v>
      </c>
      <c r="C140" s="25"/>
      <c r="D140" s="25"/>
      <c r="E140" s="26" t="s">
        <v>2378</v>
      </c>
      <c r="F140" s="26"/>
      <c r="G140" s="26"/>
      <c r="H140" s="26"/>
      <c r="I140" s="26"/>
      <c r="J140" s="27" t="s">
        <v>2056</v>
      </c>
      <c r="K140" s="27"/>
      <c r="L140" s="27"/>
      <c r="M140" s="27"/>
      <c r="N140" s="28">
        <f t="shared" si="6"/>
        <v>2500</v>
      </c>
      <c r="O140" s="28"/>
      <c r="P140" s="28"/>
      <c r="Q140" s="27" t="s">
        <v>2032</v>
      </c>
      <c r="R140" s="27"/>
      <c r="S140" s="29" t="s">
        <v>2032</v>
      </c>
      <c r="T140" s="29"/>
      <c r="U140" s="29"/>
      <c r="V140" s="29"/>
      <c r="W140" s="30" t="s">
        <v>2032</v>
      </c>
      <c r="X140" s="29" t="s">
        <v>2032</v>
      </c>
      <c r="Y140" s="29"/>
      <c r="Z140" s="29"/>
      <c r="AA140" s="29"/>
      <c r="AB140" s="27" t="s">
        <v>2056</v>
      </c>
      <c r="AC140" s="27"/>
      <c r="AD140" s="27"/>
      <c r="AE140" s="31">
        <f t="shared" si="7"/>
        <v>2500</v>
      </c>
      <c r="AF140" s="31"/>
      <c r="AG140" s="31"/>
    </row>
    <row r="141" spans="1:33" s="1" customFormat="1" ht="46.5" customHeight="1">
      <c r="A141" s="24" t="s">
        <v>2397</v>
      </c>
      <c r="B141" s="25" t="s">
        <v>2398</v>
      </c>
      <c r="C141" s="25"/>
      <c r="D141" s="25"/>
      <c r="E141" s="26" t="s">
        <v>2378</v>
      </c>
      <c r="F141" s="26"/>
      <c r="G141" s="26"/>
      <c r="H141" s="26"/>
      <c r="I141" s="26"/>
      <c r="J141" s="27" t="s">
        <v>2056</v>
      </c>
      <c r="K141" s="27"/>
      <c r="L141" s="27"/>
      <c r="M141" s="27"/>
      <c r="N141" s="28">
        <f t="shared" si="6"/>
        <v>2500</v>
      </c>
      <c r="O141" s="28"/>
      <c r="P141" s="28"/>
      <c r="Q141" s="27" t="s">
        <v>2032</v>
      </c>
      <c r="R141" s="27"/>
      <c r="S141" s="29" t="s">
        <v>2032</v>
      </c>
      <c r="T141" s="29"/>
      <c r="U141" s="29"/>
      <c r="V141" s="29"/>
      <c r="W141" s="30" t="s">
        <v>2032</v>
      </c>
      <c r="X141" s="29" t="s">
        <v>2032</v>
      </c>
      <c r="Y141" s="29"/>
      <c r="Z141" s="29"/>
      <c r="AA141" s="29"/>
      <c r="AB141" s="27" t="s">
        <v>2056</v>
      </c>
      <c r="AC141" s="27"/>
      <c r="AD141" s="27"/>
      <c r="AE141" s="31">
        <f t="shared" si="7"/>
        <v>2500</v>
      </c>
      <c r="AF141" s="31"/>
      <c r="AG141" s="31"/>
    </row>
    <row r="142" spans="1:33" s="1" customFormat="1" ht="46.5" customHeight="1">
      <c r="A142" s="24" t="s">
        <v>2399</v>
      </c>
      <c r="B142" s="25" t="s">
        <v>2400</v>
      </c>
      <c r="C142" s="25"/>
      <c r="D142" s="25"/>
      <c r="E142" s="26" t="s">
        <v>2378</v>
      </c>
      <c r="F142" s="26"/>
      <c r="G142" s="26"/>
      <c r="H142" s="26"/>
      <c r="I142" s="26"/>
      <c r="J142" s="27" t="s">
        <v>2056</v>
      </c>
      <c r="K142" s="27"/>
      <c r="L142" s="27"/>
      <c r="M142" s="27"/>
      <c r="N142" s="28">
        <f t="shared" si="6"/>
        <v>2500</v>
      </c>
      <c r="O142" s="28"/>
      <c r="P142" s="28"/>
      <c r="Q142" s="27" t="s">
        <v>2032</v>
      </c>
      <c r="R142" s="27"/>
      <c r="S142" s="29" t="s">
        <v>2032</v>
      </c>
      <c r="T142" s="29"/>
      <c r="U142" s="29"/>
      <c r="V142" s="29"/>
      <c r="W142" s="30" t="s">
        <v>2032</v>
      </c>
      <c r="X142" s="29" t="s">
        <v>2032</v>
      </c>
      <c r="Y142" s="29"/>
      <c r="Z142" s="29"/>
      <c r="AA142" s="29"/>
      <c r="AB142" s="27" t="s">
        <v>2056</v>
      </c>
      <c r="AC142" s="27"/>
      <c r="AD142" s="27"/>
      <c r="AE142" s="31">
        <f t="shared" si="7"/>
        <v>2500</v>
      </c>
      <c r="AF142" s="31"/>
      <c r="AG142" s="31"/>
    </row>
    <row r="143" spans="1:33" s="1" customFormat="1" ht="46.5" customHeight="1">
      <c r="A143" s="24" t="s">
        <v>2401</v>
      </c>
      <c r="B143" s="25" t="s">
        <v>2402</v>
      </c>
      <c r="C143" s="25"/>
      <c r="D143" s="25"/>
      <c r="E143" s="26" t="s">
        <v>2378</v>
      </c>
      <c r="F143" s="26"/>
      <c r="G143" s="26"/>
      <c r="H143" s="26"/>
      <c r="I143" s="26"/>
      <c r="J143" s="27" t="s">
        <v>2056</v>
      </c>
      <c r="K143" s="27"/>
      <c r="L143" s="27"/>
      <c r="M143" s="27"/>
      <c r="N143" s="28">
        <f t="shared" si="6"/>
        <v>2500</v>
      </c>
      <c r="O143" s="28"/>
      <c r="P143" s="28"/>
      <c r="Q143" s="27" t="s">
        <v>2032</v>
      </c>
      <c r="R143" s="27"/>
      <c r="S143" s="29" t="s">
        <v>2032</v>
      </c>
      <c r="T143" s="29"/>
      <c r="U143" s="29"/>
      <c r="V143" s="29"/>
      <c r="W143" s="30" t="s">
        <v>2032</v>
      </c>
      <c r="X143" s="29" t="s">
        <v>2032</v>
      </c>
      <c r="Y143" s="29"/>
      <c r="Z143" s="29"/>
      <c r="AA143" s="29"/>
      <c r="AB143" s="27" t="s">
        <v>2056</v>
      </c>
      <c r="AC143" s="27"/>
      <c r="AD143" s="27"/>
      <c r="AE143" s="31">
        <f t="shared" si="7"/>
        <v>2500</v>
      </c>
      <c r="AF143" s="31"/>
      <c r="AG143" s="31"/>
    </row>
    <row r="144" spans="1:33" s="1" customFormat="1" ht="46.5" customHeight="1">
      <c r="A144" s="24" t="s">
        <v>2403</v>
      </c>
      <c r="B144" s="25" t="s">
        <v>2404</v>
      </c>
      <c r="C144" s="25"/>
      <c r="D144" s="25"/>
      <c r="E144" s="26" t="s">
        <v>2378</v>
      </c>
      <c r="F144" s="26"/>
      <c r="G144" s="26"/>
      <c r="H144" s="26"/>
      <c r="I144" s="26"/>
      <c r="J144" s="27" t="s">
        <v>2056</v>
      </c>
      <c r="K144" s="27"/>
      <c r="L144" s="27"/>
      <c r="M144" s="27"/>
      <c r="N144" s="28">
        <f t="shared" si="6"/>
        <v>2500</v>
      </c>
      <c r="O144" s="28"/>
      <c r="P144" s="28"/>
      <c r="Q144" s="27" t="s">
        <v>2032</v>
      </c>
      <c r="R144" s="27"/>
      <c r="S144" s="29" t="s">
        <v>2032</v>
      </c>
      <c r="T144" s="29"/>
      <c r="U144" s="29"/>
      <c r="V144" s="29"/>
      <c r="W144" s="30" t="s">
        <v>2032</v>
      </c>
      <c r="X144" s="29" t="s">
        <v>2032</v>
      </c>
      <c r="Y144" s="29"/>
      <c r="Z144" s="29"/>
      <c r="AA144" s="29"/>
      <c r="AB144" s="27" t="s">
        <v>2056</v>
      </c>
      <c r="AC144" s="27"/>
      <c r="AD144" s="27"/>
      <c r="AE144" s="31">
        <f t="shared" si="7"/>
        <v>2500</v>
      </c>
      <c r="AF144" s="31"/>
      <c r="AG144" s="31"/>
    </row>
    <row r="145" spans="1:33" s="1" customFormat="1" ht="46.5" customHeight="1">
      <c r="A145" s="24" t="s">
        <v>2405</v>
      </c>
      <c r="B145" s="25" t="s">
        <v>2406</v>
      </c>
      <c r="C145" s="25"/>
      <c r="D145" s="25"/>
      <c r="E145" s="26" t="s">
        <v>2378</v>
      </c>
      <c r="F145" s="26"/>
      <c r="G145" s="26"/>
      <c r="H145" s="26"/>
      <c r="I145" s="26"/>
      <c r="J145" s="27" t="s">
        <v>2056</v>
      </c>
      <c r="K145" s="27"/>
      <c r="L145" s="27"/>
      <c r="M145" s="27"/>
      <c r="N145" s="28">
        <f t="shared" si="6"/>
        <v>2500</v>
      </c>
      <c r="O145" s="28"/>
      <c r="P145" s="28"/>
      <c r="Q145" s="27" t="s">
        <v>2032</v>
      </c>
      <c r="R145" s="27"/>
      <c r="S145" s="29" t="s">
        <v>2032</v>
      </c>
      <c r="T145" s="29"/>
      <c r="U145" s="29"/>
      <c r="V145" s="29"/>
      <c r="W145" s="30" t="s">
        <v>2032</v>
      </c>
      <c r="X145" s="29" t="s">
        <v>2032</v>
      </c>
      <c r="Y145" s="29"/>
      <c r="Z145" s="29"/>
      <c r="AA145" s="29"/>
      <c r="AB145" s="27" t="s">
        <v>2056</v>
      </c>
      <c r="AC145" s="27"/>
      <c r="AD145" s="27"/>
      <c r="AE145" s="31">
        <f t="shared" si="7"/>
        <v>2500</v>
      </c>
      <c r="AF145" s="31"/>
      <c r="AG145" s="31"/>
    </row>
    <row r="146" spans="1:33" s="1" customFormat="1" ht="46.5" customHeight="1">
      <c r="A146" s="24" t="s">
        <v>2407</v>
      </c>
      <c r="B146" s="25" t="s">
        <v>2408</v>
      </c>
      <c r="C146" s="25"/>
      <c r="D146" s="25"/>
      <c r="E146" s="26" t="s">
        <v>2378</v>
      </c>
      <c r="F146" s="26"/>
      <c r="G146" s="26"/>
      <c r="H146" s="26"/>
      <c r="I146" s="26"/>
      <c r="J146" s="27" t="s">
        <v>2056</v>
      </c>
      <c r="K146" s="27"/>
      <c r="L146" s="27"/>
      <c r="M146" s="27"/>
      <c r="N146" s="28">
        <f t="shared" si="6"/>
        <v>2500</v>
      </c>
      <c r="O146" s="28"/>
      <c r="P146" s="28"/>
      <c r="Q146" s="27" t="s">
        <v>2032</v>
      </c>
      <c r="R146" s="27"/>
      <c r="S146" s="29" t="s">
        <v>2032</v>
      </c>
      <c r="T146" s="29"/>
      <c r="U146" s="29"/>
      <c r="V146" s="29"/>
      <c r="W146" s="30" t="s">
        <v>2032</v>
      </c>
      <c r="X146" s="29" t="s">
        <v>2032</v>
      </c>
      <c r="Y146" s="29"/>
      <c r="Z146" s="29"/>
      <c r="AA146" s="29"/>
      <c r="AB146" s="27" t="s">
        <v>2056</v>
      </c>
      <c r="AC146" s="27"/>
      <c r="AD146" s="27"/>
      <c r="AE146" s="31">
        <f t="shared" si="7"/>
        <v>2500</v>
      </c>
      <c r="AF146" s="31"/>
      <c r="AG146" s="31"/>
    </row>
    <row r="147" spans="1:33" s="1" customFormat="1" ht="46.5" customHeight="1">
      <c r="A147" s="24" t="s">
        <v>2409</v>
      </c>
      <c r="B147" s="25" t="s">
        <v>2410</v>
      </c>
      <c r="C147" s="25"/>
      <c r="D147" s="25"/>
      <c r="E147" s="26" t="s">
        <v>2378</v>
      </c>
      <c r="F147" s="26"/>
      <c r="G147" s="26"/>
      <c r="H147" s="26"/>
      <c r="I147" s="26"/>
      <c r="J147" s="27" t="s">
        <v>2056</v>
      </c>
      <c r="K147" s="27"/>
      <c r="L147" s="27"/>
      <c r="M147" s="27"/>
      <c r="N147" s="28">
        <f t="shared" si="6"/>
        <v>2500</v>
      </c>
      <c r="O147" s="28"/>
      <c r="P147" s="28"/>
      <c r="Q147" s="27" t="s">
        <v>2032</v>
      </c>
      <c r="R147" s="27"/>
      <c r="S147" s="29" t="s">
        <v>2032</v>
      </c>
      <c r="T147" s="29"/>
      <c r="U147" s="29"/>
      <c r="V147" s="29"/>
      <c r="W147" s="30" t="s">
        <v>2032</v>
      </c>
      <c r="X147" s="29" t="s">
        <v>2032</v>
      </c>
      <c r="Y147" s="29"/>
      <c r="Z147" s="29"/>
      <c r="AA147" s="29"/>
      <c r="AB147" s="27" t="s">
        <v>2056</v>
      </c>
      <c r="AC147" s="27"/>
      <c r="AD147" s="27"/>
      <c r="AE147" s="31">
        <f t="shared" si="7"/>
        <v>2500</v>
      </c>
      <c r="AF147" s="31"/>
      <c r="AG147" s="31"/>
    </row>
    <row r="148" spans="1:33" s="1" customFormat="1" ht="46.5" customHeight="1">
      <c r="A148" s="24" t="s">
        <v>2411</v>
      </c>
      <c r="B148" s="25" t="s">
        <v>2412</v>
      </c>
      <c r="C148" s="25"/>
      <c r="D148" s="25"/>
      <c r="E148" s="26" t="s">
        <v>2378</v>
      </c>
      <c r="F148" s="26"/>
      <c r="G148" s="26"/>
      <c r="H148" s="26"/>
      <c r="I148" s="26"/>
      <c r="J148" s="27" t="s">
        <v>2056</v>
      </c>
      <c r="K148" s="27"/>
      <c r="L148" s="27"/>
      <c r="M148" s="27"/>
      <c r="N148" s="28">
        <f t="shared" si="6"/>
        <v>2500</v>
      </c>
      <c r="O148" s="28"/>
      <c r="P148" s="28"/>
      <c r="Q148" s="27" t="s">
        <v>2032</v>
      </c>
      <c r="R148" s="27"/>
      <c r="S148" s="29" t="s">
        <v>2032</v>
      </c>
      <c r="T148" s="29"/>
      <c r="U148" s="29"/>
      <c r="V148" s="29"/>
      <c r="W148" s="30" t="s">
        <v>2032</v>
      </c>
      <c r="X148" s="29" t="s">
        <v>2032</v>
      </c>
      <c r="Y148" s="29"/>
      <c r="Z148" s="29"/>
      <c r="AA148" s="29"/>
      <c r="AB148" s="27" t="s">
        <v>2056</v>
      </c>
      <c r="AC148" s="27"/>
      <c r="AD148" s="27"/>
      <c r="AE148" s="31">
        <f t="shared" si="7"/>
        <v>2500</v>
      </c>
      <c r="AF148" s="31"/>
      <c r="AG148" s="31"/>
    </row>
    <row r="149" spans="1:33" s="1" customFormat="1" ht="46.5" customHeight="1">
      <c r="A149" s="24" t="s">
        <v>2413</v>
      </c>
      <c r="B149" s="25" t="s">
        <v>2414</v>
      </c>
      <c r="C149" s="25"/>
      <c r="D149" s="25"/>
      <c r="E149" s="26" t="s">
        <v>2378</v>
      </c>
      <c r="F149" s="26"/>
      <c r="G149" s="26"/>
      <c r="H149" s="26"/>
      <c r="I149" s="26"/>
      <c r="J149" s="27" t="s">
        <v>2056</v>
      </c>
      <c r="K149" s="27"/>
      <c r="L149" s="27"/>
      <c r="M149" s="27"/>
      <c r="N149" s="28">
        <f t="shared" si="6"/>
        <v>2500</v>
      </c>
      <c r="O149" s="28"/>
      <c r="P149" s="28"/>
      <c r="Q149" s="27" t="s">
        <v>2032</v>
      </c>
      <c r="R149" s="27"/>
      <c r="S149" s="29" t="s">
        <v>2032</v>
      </c>
      <c r="T149" s="29"/>
      <c r="U149" s="29"/>
      <c r="V149" s="29"/>
      <c r="W149" s="30" t="s">
        <v>2032</v>
      </c>
      <c r="X149" s="29" t="s">
        <v>2032</v>
      </c>
      <c r="Y149" s="29"/>
      <c r="Z149" s="29"/>
      <c r="AA149" s="29"/>
      <c r="AB149" s="27" t="s">
        <v>2056</v>
      </c>
      <c r="AC149" s="27"/>
      <c r="AD149" s="27"/>
      <c r="AE149" s="31">
        <f t="shared" si="7"/>
        <v>2500</v>
      </c>
      <c r="AF149" s="31"/>
      <c r="AG149" s="31"/>
    </row>
    <row r="150" spans="1:33" s="1" customFormat="1" ht="46.5" customHeight="1">
      <c r="A150" s="24" t="s">
        <v>2415</v>
      </c>
      <c r="B150" s="25" t="s">
        <v>2416</v>
      </c>
      <c r="C150" s="25"/>
      <c r="D150" s="25"/>
      <c r="E150" s="26" t="s">
        <v>2378</v>
      </c>
      <c r="F150" s="26"/>
      <c r="G150" s="26"/>
      <c r="H150" s="26"/>
      <c r="I150" s="26"/>
      <c r="J150" s="27" t="s">
        <v>2056</v>
      </c>
      <c r="K150" s="27"/>
      <c r="L150" s="27"/>
      <c r="M150" s="27"/>
      <c r="N150" s="28">
        <f t="shared" si="6"/>
        <v>2500</v>
      </c>
      <c r="O150" s="28"/>
      <c r="P150" s="28"/>
      <c r="Q150" s="27" t="s">
        <v>2032</v>
      </c>
      <c r="R150" s="27"/>
      <c r="S150" s="29" t="s">
        <v>2032</v>
      </c>
      <c r="T150" s="29"/>
      <c r="U150" s="29"/>
      <c r="V150" s="29"/>
      <c r="W150" s="30" t="s">
        <v>2032</v>
      </c>
      <c r="X150" s="29" t="s">
        <v>2032</v>
      </c>
      <c r="Y150" s="29"/>
      <c r="Z150" s="29"/>
      <c r="AA150" s="29"/>
      <c r="AB150" s="27" t="s">
        <v>2056</v>
      </c>
      <c r="AC150" s="27"/>
      <c r="AD150" s="27"/>
      <c r="AE150" s="31">
        <f t="shared" si="7"/>
        <v>2500</v>
      </c>
      <c r="AF150" s="31"/>
      <c r="AG150" s="31"/>
    </row>
    <row r="151" spans="1:33" s="1" customFormat="1" ht="46.5" customHeight="1">
      <c r="A151" s="24" t="s">
        <v>2417</v>
      </c>
      <c r="B151" s="25" t="s">
        <v>2418</v>
      </c>
      <c r="C151" s="25"/>
      <c r="D151" s="25"/>
      <c r="E151" s="26" t="s">
        <v>2378</v>
      </c>
      <c r="F151" s="26"/>
      <c r="G151" s="26"/>
      <c r="H151" s="26"/>
      <c r="I151" s="26"/>
      <c r="J151" s="27" t="s">
        <v>2056</v>
      </c>
      <c r="K151" s="27"/>
      <c r="L151" s="27"/>
      <c r="M151" s="27"/>
      <c r="N151" s="28">
        <f t="shared" si="6"/>
        <v>2500</v>
      </c>
      <c r="O151" s="28"/>
      <c r="P151" s="28"/>
      <c r="Q151" s="27" t="s">
        <v>2032</v>
      </c>
      <c r="R151" s="27"/>
      <c r="S151" s="29" t="s">
        <v>2032</v>
      </c>
      <c r="T151" s="29"/>
      <c r="U151" s="29"/>
      <c r="V151" s="29"/>
      <c r="W151" s="30" t="s">
        <v>2032</v>
      </c>
      <c r="X151" s="29" t="s">
        <v>2032</v>
      </c>
      <c r="Y151" s="29"/>
      <c r="Z151" s="29"/>
      <c r="AA151" s="29"/>
      <c r="AB151" s="27" t="s">
        <v>2056</v>
      </c>
      <c r="AC151" s="27"/>
      <c r="AD151" s="27"/>
      <c r="AE151" s="31">
        <f t="shared" si="7"/>
        <v>2500</v>
      </c>
      <c r="AF151" s="31"/>
      <c r="AG151" s="31"/>
    </row>
    <row r="152" spans="1:33" s="1" customFormat="1" ht="46.5" customHeight="1">
      <c r="A152" s="24" t="s">
        <v>2419</v>
      </c>
      <c r="B152" s="25" t="s">
        <v>2420</v>
      </c>
      <c r="C152" s="25"/>
      <c r="D152" s="25"/>
      <c r="E152" s="26" t="s">
        <v>2378</v>
      </c>
      <c r="F152" s="26"/>
      <c r="G152" s="26"/>
      <c r="H152" s="26"/>
      <c r="I152" s="26"/>
      <c r="J152" s="27" t="s">
        <v>2056</v>
      </c>
      <c r="K152" s="27"/>
      <c r="L152" s="27"/>
      <c r="M152" s="27"/>
      <c r="N152" s="28">
        <f t="shared" si="6"/>
        <v>2500</v>
      </c>
      <c r="O152" s="28"/>
      <c r="P152" s="28"/>
      <c r="Q152" s="27" t="s">
        <v>2032</v>
      </c>
      <c r="R152" s="27"/>
      <c r="S152" s="29" t="s">
        <v>2032</v>
      </c>
      <c r="T152" s="29"/>
      <c r="U152" s="29"/>
      <c r="V152" s="29"/>
      <c r="W152" s="30" t="s">
        <v>2032</v>
      </c>
      <c r="X152" s="29" t="s">
        <v>2032</v>
      </c>
      <c r="Y152" s="29"/>
      <c r="Z152" s="29"/>
      <c r="AA152" s="29"/>
      <c r="AB152" s="27" t="s">
        <v>2056</v>
      </c>
      <c r="AC152" s="27"/>
      <c r="AD152" s="27"/>
      <c r="AE152" s="31">
        <f t="shared" si="7"/>
        <v>2500</v>
      </c>
      <c r="AF152" s="31"/>
      <c r="AG152" s="31"/>
    </row>
    <row r="153" spans="1:33" s="1" customFormat="1" ht="46.5" customHeight="1">
      <c r="A153" s="24" t="s">
        <v>2421</v>
      </c>
      <c r="B153" s="25" t="s">
        <v>2422</v>
      </c>
      <c r="C153" s="25"/>
      <c r="D153" s="25"/>
      <c r="E153" s="26" t="s">
        <v>2378</v>
      </c>
      <c r="F153" s="26"/>
      <c r="G153" s="26"/>
      <c r="H153" s="26"/>
      <c r="I153" s="26"/>
      <c r="J153" s="27" t="s">
        <v>2056</v>
      </c>
      <c r="K153" s="27"/>
      <c r="L153" s="27"/>
      <c r="M153" s="27"/>
      <c r="N153" s="28">
        <f t="shared" si="6"/>
        <v>2500</v>
      </c>
      <c r="O153" s="28"/>
      <c r="P153" s="28"/>
      <c r="Q153" s="27" t="s">
        <v>2032</v>
      </c>
      <c r="R153" s="27"/>
      <c r="S153" s="29" t="s">
        <v>2032</v>
      </c>
      <c r="T153" s="29"/>
      <c r="U153" s="29"/>
      <c r="V153" s="29"/>
      <c r="W153" s="30" t="s">
        <v>2032</v>
      </c>
      <c r="X153" s="29" t="s">
        <v>2032</v>
      </c>
      <c r="Y153" s="29"/>
      <c r="Z153" s="29"/>
      <c r="AA153" s="29"/>
      <c r="AB153" s="27" t="s">
        <v>2056</v>
      </c>
      <c r="AC153" s="27"/>
      <c r="AD153" s="27"/>
      <c r="AE153" s="31">
        <f t="shared" si="7"/>
        <v>2500</v>
      </c>
      <c r="AF153" s="31"/>
      <c r="AG153" s="31"/>
    </row>
    <row r="154" spans="1:33" s="1" customFormat="1" ht="46.5" customHeight="1">
      <c r="A154" s="24" t="s">
        <v>2423</v>
      </c>
      <c r="B154" s="25" t="s">
        <v>2424</v>
      </c>
      <c r="C154" s="25"/>
      <c r="D154" s="25"/>
      <c r="E154" s="26" t="s">
        <v>2378</v>
      </c>
      <c r="F154" s="26"/>
      <c r="G154" s="26"/>
      <c r="H154" s="26"/>
      <c r="I154" s="26"/>
      <c r="J154" s="27" t="s">
        <v>2056</v>
      </c>
      <c r="K154" s="27"/>
      <c r="L154" s="27"/>
      <c r="M154" s="27"/>
      <c r="N154" s="28">
        <f t="shared" si="6"/>
        <v>2500</v>
      </c>
      <c r="O154" s="28"/>
      <c r="P154" s="28"/>
      <c r="Q154" s="27" t="s">
        <v>2032</v>
      </c>
      <c r="R154" s="27"/>
      <c r="S154" s="29" t="s">
        <v>2032</v>
      </c>
      <c r="T154" s="29"/>
      <c r="U154" s="29"/>
      <c r="V154" s="29"/>
      <c r="W154" s="30" t="s">
        <v>2032</v>
      </c>
      <c r="X154" s="29" t="s">
        <v>2032</v>
      </c>
      <c r="Y154" s="29"/>
      <c r="Z154" s="29"/>
      <c r="AA154" s="29"/>
      <c r="AB154" s="27" t="s">
        <v>2056</v>
      </c>
      <c r="AC154" s="27"/>
      <c r="AD154" s="27"/>
      <c r="AE154" s="31">
        <f t="shared" si="7"/>
        <v>2500</v>
      </c>
      <c r="AF154" s="31"/>
      <c r="AG154" s="31"/>
    </row>
    <row r="155" spans="1:33" s="1" customFormat="1" ht="46.5" customHeight="1">
      <c r="A155" s="24" t="s">
        <v>2342</v>
      </c>
      <c r="B155" s="25" t="s">
        <v>2425</v>
      </c>
      <c r="C155" s="25"/>
      <c r="D155" s="25"/>
      <c r="E155" s="26" t="s">
        <v>2378</v>
      </c>
      <c r="F155" s="26"/>
      <c r="G155" s="26"/>
      <c r="H155" s="26"/>
      <c r="I155" s="26"/>
      <c r="J155" s="27" t="s">
        <v>2056</v>
      </c>
      <c r="K155" s="27"/>
      <c r="L155" s="27"/>
      <c r="M155" s="27"/>
      <c r="N155" s="28">
        <f t="shared" si="6"/>
        <v>2500</v>
      </c>
      <c r="O155" s="28"/>
      <c r="P155" s="28"/>
      <c r="Q155" s="27" t="s">
        <v>2032</v>
      </c>
      <c r="R155" s="27"/>
      <c r="S155" s="29" t="s">
        <v>2032</v>
      </c>
      <c r="T155" s="29"/>
      <c r="U155" s="29"/>
      <c r="V155" s="29"/>
      <c r="W155" s="30" t="s">
        <v>2032</v>
      </c>
      <c r="X155" s="29" t="s">
        <v>2032</v>
      </c>
      <c r="Y155" s="29"/>
      <c r="Z155" s="29"/>
      <c r="AA155" s="29"/>
      <c r="AB155" s="27" t="s">
        <v>2056</v>
      </c>
      <c r="AC155" s="27"/>
      <c r="AD155" s="27"/>
      <c r="AE155" s="31">
        <f t="shared" si="7"/>
        <v>2500</v>
      </c>
      <c r="AF155" s="31"/>
      <c r="AG155" s="31"/>
    </row>
    <row r="156" spans="1:33" s="1" customFormat="1" ht="46.5" customHeight="1">
      <c r="A156" s="24" t="s">
        <v>2426</v>
      </c>
      <c r="B156" s="25" t="s">
        <v>2427</v>
      </c>
      <c r="C156" s="25"/>
      <c r="D156" s="25"/>
      <c r="E156" s="26" t="s">
        <v>2378</v>
      </c>
      <c r="F156" s="26"/>
      <c r="G156" s="26"/>
      <c r="H156" s="26"/>
      <c r="I156" s="26"/>
      <c r="J156" s="27" t="s">
        <v>2056</v>
      </c>
      <c r="K156" s="27"/>
      <c r="L156" s="27"/>
      <c r="M156" s="27"/>
      <c r="N156" s="28">
        <f t="shared" si="6"/>
        <v>2500</v>
      </c>
      <c r="O156" s="28"/>
      <c r="P156" s="28"/>
      <c r="Q156" s="27" t="s">
        <v>2032</v>
      </c>
      <c r="R156" s="27"/>
      <c r="S156" s="29" t="s">
        <v>2032</v>
      </c>
      <c r="T156" s="29"/>
      <c r="U156" s="29"/>
      <c r="V156" s="29"/>
      <c r="W156" s="30" t="s">
        <v>2032</v>
      </c>
      <c r="X156" s="29" t="s">
        <v>2032</v>
      </c>
      <c r="Y156" s="29"/>
      <c r="Z156" s="29"/>
      <c r="AA156" s="29"/>
      <c r="AB156" s="27" t="s">
        <v>2056</v>
      </c>
      <c r="AC156" s="27"/>
      <c r="AD156" s="27"/>
      <c r="AE156" s="31">
        <f t="shared" si="7"/>
        <v>2500</v>
      </c>
      <c r="AF156" s="31"/>
      <c r="AG156" s="31"/>
    </row>
    <row r="157" spans="1:33" s="1" customFormat="1" ht="46.5" customHeight="1">
      <c r="A157" s="24" t="s">
        <v>2428</v>
      </c>
      <c r="B157" s="25" t="s">
        <v>2429</v>
      </c>
      <c r="C157" s="25"/>
      <c r="D157" s="25"/>
      <c r="E157" s="26" t="s">
        <v>2378</v>
      </c>
      <c r="F157" s="26"/>
      <c r="G157" s="26"/>
      <c r="H157" s="26"/>
      <c r="I157" s="26"/>
      <c r="J157" s="27" t="s">
        <v>2056</v>
      </c>
      <c r="K157" s="27"/>
      <c r="L157" s="27"/>
      <c r="M157" s="27"/>
      <c r="N157" s="28">
        <f t="shared" si="6"/>
        <v>2500</v>
      </c>
      <c r="O157" s="28"/>
      <c r="P157" s="28"/>
      <c r="Q157" s="27" t="s">
        <v>2032</v>
      </c>
      <c r="R157" s="27"/>
      <c r="S157" s="29" t="s">
        <v>2032</v>
      </c>
      <c r="T157" s="29"/>
      <c r="U157" s="29"/>
      <c r="V157" s="29"/>
      <c r="W157" s="30" t="s">
        <v>2032</v>
      </c>
      <c r="X157" s="29" t="s">
        <v>2032</v>
      </c>
      <c r="Y157" s="29"/>
      <c r="Z157" s="29"/>
      <c r="AA157" s="29"/>
      <c r="AB157" s="27" t="s">
        <v>2056</v>
      </c>
      <c r="AC157" s="27"/>
      <c r="AD157" s="27"/>
      <c r="AE157" s="31">
        <f t="shared" si="7"/>
        <v>2500</v>
      </c>
      <c r="AF157" s="31"/>
      <c r="AG157" s="31"/>
    </row>
    <row r="158" spans="1:33" s="1" customFormat="1" ht="46.5" customHeight="1">
      <c r="A158" s="24" t="s">
        <v>2430</v>
      </c>
      <c r="B158" s="25" t="s">
        <v>2431</v>
      </c>
      <c r="C158" s="25"/>
      <c r="D158" s="25"/>
      <c r="E158" s="26" t="s">
        <v>2378</v>
      </c>
      <c r="F158" s="26"/>
      <c r="G158" s="26"/>
      <c r="H158" s="26"/>
      <c r="I158" s="26"/>
      <c r="J158" s="27" t="s">
        <v>2056</v>
      </c>
      <c r="K158" s="27"/>
      <c r="L158" s="27"/>
      <c r="M158" s="27"/>
      <c r="N158" s="28">
        <f t="shared" si="6"/>
        <v>2500</v>
      </c>
      <c r="O158" s="28"/>
      <c r="P158" s="28"/>
      <c r="Q158" s="27" t="s">
        <v>2032</v>
      </c>
      <c r="R158" s="27"/>
      <c r="S158" s="29" t="s">
        <v>2032</v>
      </c>
      <c r="T158" s="29"/>
      <c r="U158" s="29"/>
      <c r="V158" s="29"/>
      <c r="W158" s="30" t="s">
        <v>2032</v>
      </c>
      <c r="X158" s="29" t="s">
        <v>2032</v>
      </c>
      <c r="Y158" s="29"/>
      <c r="Z158" s="29"/>
      <c r="AA158" s="29"/>
      <c r="AB158" s="27" t="s">
        <v>2056</v>
      </c>
      <c r="AC158" s="27"/>
      <c r="AD158" s="27"/>
      <c r="AE158" s="31">
        <f t="shared" si="7"/>
        <v>2500</v>
      </c>
      <c r="AF158" s="31"/>
      <c r="AG158" s="31"/>
    </row>
    <row r="159" spans="1:33" s="1" customFormat="1" ht="46.5" customHeight="1">
      <c r="A159" s="24" t="s">
        <v>2432</v>
      </c>
      <c r="B159" s="25" t="s">
        <v>2433</v>
      </c>
      <c r="C159" s="25"/>
      <c r="D159" s="25"/>
      <c r="E159" s="26" t="s">
        <v>2378</v>
      </c>
      <c r="F159" s="26"/>
      <c r="G159" s="26"/>
      <c r="H159" s="26"/>
      <c r="I159" s="26"/>
      <c r="J159" s="27" t="s">
        <v>2056</v>
      </c>
      <c r="K159" s="27"/>
      <c r="L159" s="27"/>
      <c r="M159" s="27"/>
      <c r="N159" s="28">
        <f t="shared" si="6"/>
        <v>2500</v>
      </c>
      <c r="O159" s="28"/>
      <c r="P159" s="28"/>
      <c r="Q159" s="27" t="s">
        <v>2032</v>
      </c>
      <c r="R159" s="27"/>
      <c r="S159" s="29" t="s">
        <v>2032</v>
      </c>
      <c r="T159" s="29"/>
      <c r="U159" s="29"/>
      <c r="V159" s="29"/>
      <c r="W159" s="30" t="s">
        <v>2032</v>
      </c>
      <c r="X159" s="29" t="s">
        <v>2032</v>
      </c>
      <c r="Y159" s="29"/>
      <c r="Z159" s="29"/>
      <c r="AA159" s="29"/>
      <c r="AB159" s="27" t="s">
        <v>2056</v>
      </c>
      <c r="AC159" s="27"/>
      <c r="AD159" s="27"/>
      <c r="AE159" s="31">
        <f t="shared" si="7"/>
        <v>2500</v>
      </c>
      <c r="AF159" s="31"/>
      <c r="AG159" s="31"/>
    </row>
    <row r="160" spans="1:33" s="1" customFormat="1" ht="33" customHeight="1">
      <c r="A160" s="24" t="s">
        <v>2434</v>
      </c>
      <c r="B160" s="25" t="s">
        <v>2435</v>
      </c>
      <c r="C160" s="25"/>
      <c r="D160" s="25"/>
      <c r="E160" s="26" t="s">
        <v>2436</v>
      </c>
      <c r="F160" s="26"/>
      <c r="G160" s="26"/>
      <c r="H160" s="26"/>
      <c r="I160" s="26"/>
      <c r="J160" s="27" t="s">
        <v>2056</v>
      </c>
      <c r="K160" s="27"/>
      <c r="L160" s="27"/>
      <c r="M160" s="27"/>
      <c r="N160" s="28">
        <f>170</f>
        <v>170</v>
      </c>
      <c r="O160" s="28"/>
      <c r="P160" s="28"/>
      <c r="Q160" s="27" t="s">
        <v>2032</v>
      </c>
      <c r="R160" s="27"/>
      <c r="S160" s="29" t="s">
        <v>2032</v>
      </c>
      <c r="T160" s="29"/>
      <c r="U160" s="29"/>
      <c r="V160" s="29"/>
      <c r="W160" s="30" t="s">
        <v>2032</v>
      </c>
      <c r="X160" s="29" t="s">
        <v>2032</v>
      </c>
      <c r="Y160" s="29"/>
      <c r="Z160" s="29"/>
      <c r="AA160" s="29"/>
      <c r="AB160" s="27" t="s">
        <v>2056</v>
      </c>
      <c r="AC160" s="27"/>
      <c r="AD160" s="27"/>
      <c r="AE160" s="31">
        <f>170</f>
        <v>170</v>
      </c>
      <c r="AF160" s="31"/>
      <c r="AG160" s="31"/>
    </row>
    <row r="161" spans="1:33" s="1" customFormat="1" ht="18.75" customHeight="1">
      <c r="A161" s="24" t="s">
        <v>2437</v>
      </c>
      <c r="B161" s="25" t="s">
        <v>2438</v>
      </c>
      <c r="C161" s="25"/>
      <c r="D161" s="25"/>
      <c r="E161" s="26" t="s">
        <v>2439</v>
      </c>
      <c r="F161" s="26"/>
      <c r="G161" s="26"/>
      <c r="H161" s="26"/>
      <c r="I161" s="26"/>
      <c r="J161" s="27" t="s">
        <v>2059</v>
      </c>
      <c r="K161" s="27"/>
      <c r="L161" s="27"/>
      <c r="M161" s="27"/>
      <c r="N161" s="28">
        <f>1510.4</f>
        <v>1510.4</v>
      </c>
      <c r="O161" s="28"/>
      <c r="P161" s="28"/>
      <c r="Q161" s="27" t="s">
        <v>2032</v>
      </c>
      <c r="R161" s="27"/>
      <c r="S161" s="29" t="s">
        <v>2032</v>
      </c>
      <c r="T161" s="29"/>
      <c r="U161" s="29"/>
      <c r="V161" s="29"/>
      <c r="W161" s="30" t="s">
        <v>2032</v>
      </c>
      <c r="X161" s="29" t="s">
        <v>2032</v>
      </c>
      <c r="Y161" s="29"/>
      <c r="Z161" s="29"/>
      <c r="AA161" s="29"/>
      <c r="AB161" s="27" t="s">
        <v>2059</v>
      </c>
      <c r="AC161" s="27"/>
      <c r="AD161" s="27"/>
      <c r="AE161" s="31">
        <f>1510.4</f>
        <v>1510.4</v>
      </c>
      <c r="AF161" s="31"/>
      <c r="AG161" s="31"/>
    </row>
    <row r="162" spans="1:33" s="1" customFormat="1" ht="33" customHeight="1">
      <c r="A162" s="24" t="s">
        <v>2440</v>
      </c>
      <c r="B162" s="25" t="s">
        <v>2441</v>
      </c>
      <c r="C162" s="25"/>
      <c r="D162" s="25"/>
      <c r="E162" s="26" t="s">
        <v>2442</v>
      </c>
      <c r="F162" s="26"/>
      <c r="G162" s="26"/>
      <c r="H162" s="26"/>
      <c r="I162" s="26"/>
      <c r="J162" s="27" t="s">
        <v>2065</v>
      </c>
      <c r="K162" s="27"/>
      <c r="L162" s="27"/>
      <c r="M162" s="27"/>
      <c r="N162" s="28">
        <f>10900</f>
        <v>10900</v>
      </c>
      <c r="O162" s="28"/>
      <c r="P162" s="28"/>
      <c r="Q162" s="27" t="s">
        <v>2032</v>
      </c>
      <c r="R162" s="27"/>
      <c r="S162" s="29" t="s">
        <v>2032</v>
      </c>
      <c r="T162" s="29"/>
      <c r="U162" s="29"/>
      <c r="V162" s="29"/>
      <c r="W162" s="30" t="s">
        <v>2032</v>
      </c>
      <c r="X162" s="29" t="s">
        <v>2032</v>
      </c>
      <c r="Y162" s="29"/>
      <c r="Z162" s="29"/>
      <c r="AA162" s="29"/>
      <c r="AB162" s="27" t="s">
        <v>2065</v>
      </c>
      <c r="AC162" s="27"/>
      <c r="AD162" s="27"/>
      <c r="AE162" s="31">
        <f>10900</f>
        <v>10900</v>
      </c>
      <c r="AF162" s="31"/>
      <c r="AG162" s="31"/>
    </row>
    <row r="163" spans="1:33" s="1" customFormat="1" ht="33" customHeight="1">
      <c r="A163" s="24" t="s">
        <v>2443</v>
      </c>
      <c r="B163" s="25" t="s">
        <v>2444</v>
      </c>
      <c r="C163" s="25"/>
      <c r="D163" s="25"/>
      <c r="E163" s="26" t="s">
        <v>2445</v>
      </c>
      <c r="F163" s="26"/>
      <c r="G163" s="26"/>
      <c r="H163" s="26"/>
      <c r="I163" s="26"/>
      <c r="J163" s="27" t="s">
        <v>2102</v>
      </c>
      <c r="K163" s="27"/>
      <c r="L163" s="27"/>
      <c r="M163" s="27"/>
      <c r="N163" s="28">
        <f>20700</f>
        <v>20700</v>
      </c>
      <c r="O163" s="28"/>
      <c r="P163" s="28"/>
      <c r="Q163" s="27" t="s">
        <v>2032</v>
      </c>
      <c r="R163" s="27"/>
      <c r="S163" s="29" t="s">
        <v>2032</v>
      </c>
      <c r="T163" s="29"/>
      <c r="U163" s="29"/>
      <c r="V163" s="29"/>
      <c r="W163" s="30" t="s">
        <v>2032</v>
      </c>
      <c r="X163" s="29" t="s">
        <v>2032</v>
      </c>
      <c r="Y163" s="29"/>
      <c r="Z163" s="29"/>
      <c r="AA163" s="29"/>
      <c r="AB163" s="27" t="s">
        <v>2102</v>
      </c>
      <c r="AC163" s="27"/>
      <c r="AD163" s="27"/>
      <c r="AE163" s="31">
        <f>20700</f>
        <v>20700</v>
      </c>
      <c r="AF163" s="31"/>
      <c r="AG163" s="31"/>
    </row>
    <row r="164" spans="1:33" s="1" customFormat="1" ht="18.75" customHeight="1">
      <c r="A164" s="24" t="s">
        <v>2446</v>
      </c>
      <c r="B164" s="25" t="s">
        <v>2447</v>
      </c>
      <c r="C164" s="25"/>
      <c r="D164" s="25"/>
      <c r="E164" s="26" t="s">
        <v>2448</v>
      </c>
      <c r="F164" s="26"/>
      <c r="G164" s="26"/>
      <c r="H164" s="26"/>
      <c r="I164" s="26"/>
      <c r="J164" s="27" t="s">
        <v>2056</v>
      </c>
      <c r="K164" s="27"/>
      <c r="L164" s="27"/>
      <c r="M164" s="27"/>
      <c r="N164" s="28">
        <f>417</f>
        <v>417</v>
      </c>
      <c r="O164" s="28"/>
      <c r="P164" s="28"/>
      <c r="Q164" s="27" t="s">
        <v>2032</v>
      </c>
      <c r="R164" s="27"/>
      <c r="S164" s="29" t="s">
        <v>2032</v>
      </c>
      <c r="T164" s="29"/>
      <c r="U164" s="29"/>
      <c r="V164" s="29"/>
      <c r="W164" s="30" t="s">
        <v>2032</v>
      </c>
      <c r="X164" s="29" t="s">
        <v>2032</v>
      </c>
      <c r="Y164" s="29"/>
      <c r="Z164" s="29"/>
      <c r="AA164" s="29"/>
      <c r="AB164" s="27" t="s">
        <v>2056</v>
      </c>
      <c r="AC164" s="27"/>
      <c r="AD164" s="27"/>
      <c r="AE164" s="31">
        <f>417</f>
        <v>417</v>
      </c>
      <c r="AF164" s="31"/>
      <c r="AG164" s="31"/>
    </row>
    <row r="165" spans="1:33" s="1" customFormat="1" ht="18.75" customHeight="1">
      <c r="A165" s="24" t="s">
        <v>2449</v>
      </c>
      <c r="B165" s="25" t="s">
        <v>2450</v>
      </c>
      <c r="C165" s="25"/>
      <c r="D165" s="25"/>
      <c r="E165" s="26" t="s">
        <v>2451</v>
      </c>
      <c r="F165" s="26"/>
      <c r="G165" s="26"/>
      <c r="H165" s="26"/>
      <c r="I165" s="26"/>
      <c r="J165" s="27" t="s">
        <v>2056</v>
      </c>
      <c r="K165" s="27"/>
      <c r="L165" s="27"/>
      <c r="M165" s="27"/>
      <c r="N165" s="28">
        <f>62</f>
        <v>62</v>
      </c>
      <c r="O165" s="28"/>
      <c r="P165" s="28"/>
      <c r="Q165" s="27" t="s">
        <v>2032</v>
      </c>
      <c r="R165" s="27"/>
      <c r="S165" s="29" t="s">
        <v>2032</v>
      </c>
      <c r="T165" s="29"/>
      <c r="U165" s="29"/>
      <c r="V165" s="29"/>
      <c r="W165" s="30" t="s">
        <v>2032</v>
      </c>
      <c r="X165" s="29" t="s">
        <v>2032</v>
      </c>
      <c r="Y165" s="29"/>
      <c r="Z165" s="29"/>
      <c r="AA165" s="29"/>
      <c r="AB165" s="27" t="s">
        <v>2056</v>
      </c>
      <c r="AC165" s="27"/>
      <c r="AD165" s="27"/>
      <c r="AE165" s="31">
        <f>62</f>
        <v>62</v>
      </c>
      <c r="AF165" s="31"/>
      <c r="AG165" s="31"/>
    </row>
    <row r="166" spans="1:33" s="1" customFormat="1" ht="33" customHeight="1">
      <c r="A166" s="24" t="s">
        <v>2452</v>
      </c>
      <c r="B166" s="25" t="s">
        <v>2453</v>
      </c>
      <c r="C166" s="25"/>
      <c r="D166" s="25"/>
      <c r="E166" s="26" t="s">
        <v>2454</v>
      </c>
      <c r="F166" s="26"/>
      <c r="G166" s="26"/>
      <c r="H166" s="26"/>
      <c r="I166" s="26"/>
      <c r="J166" s="27" t="s">
        <v>2056</v>
      </c>
      <c r="K166" s="27"/>
      <c r="L166" s="27"/>
      <c r="M166" s="27"/>
      <c r="N166" s="28">
        <f>390</f>
        <v>390</v>
      </c>
      <c r="O166" s="28"/>
      <c r="P166" s="28"/>
      <c r="Q166" s="27" t="s">
        <v>2032</v>
      </c>
      <c r="R166" s="27"/>
      <c r="S166" s="29" t="s">
        <v>2032</v>
      </c>
      <c r="T166" s="29"/>
      <c r="U166" s="29"/>
      <c r="V166" s="29"/>
      <c r="W166" s="30" t="s">
        <v>2032</v>
      </c>
      <c r="X166" s="29" t="s">
        <v>2032</v>
      </c>
      <c r="Y166" s="29"/>
      <c r="Z166" s="29"/>
      <c r="AA166" s="29"/>
      <c r="AB166" s="27" t="s">
        <v>2056</v>
      </c>
      <c r="AC166" s="27"/>
      <c r="AD166" s="27"/>
      <c r="AE166" s="31">
        <f>390</f>
        <v>390</v>
      </c>
      <c r="AF166" s="31"/>
      <c r="AG166" s="31"/>
    </row>
    <row r="167" spans="1:33" s="1" customFormat="1" ht="18.75" customHeight="1">
      <c r="A167" s="24" t="s">
        <v>2455</v>
      </c>
      <c r="B167" s="25" t="s">
        <v>2456</v>
      </c>
      <c r="C167" s="25"/>
      <c r="D167" s="25"/>
      <c r="E167" s="26" t="s">
        <v>2457</v>
      </c>
      <c r="F167" s="26"/>
      <c r="G167" s="26"/>
      <c r="H167" s="26"/>
      <c r="I167" s="26"/>
      <c r="J167" s="27" t="s">
        <v>2056</v>
      </c>
      <c r="K167" s="27"/>
      <c r="L167" s="27"/>
      <c r="M167" s="27"/>
      <c r="N167" s="28">
        <f>68.99</f>
        <v>68.99</v>
      </c>
      <c r="O167" s="28"/>
      <c r="P167" s="28"/>
      <c r="Q167" s="27" t="s">
        <v>2032</v>
      </c>
      <c r="R167" s="27"/>
      <c r="S167" s="29" t="s">
        <v>2032</v>
      </c>
      <c r="T167" s="29"/>
      <c r="U167" s="29"/>
      <c r="V167" s="29"/>
      <c r="W167" s="30" t="s">
        <v>2032</v>
      </c>
      <c r="X167" s="29" t="s">
        <v>2032</v>
      </c>
      <c r="Y167" s="29"/>
      <c r="Z167" s="29"/>
      <c r="AA167" s="29"/>
      <c r="AB167" s="27" t="s">
        <v>2056</v>
      </c>
      <c r="AC167" s="27"/>
      <c r="AD167" s="27"/>
      <c r="AE167" s="31">
        <f>68.99</f>
        <v>68.99</v>
      </c>
      <c r="AF167" s="31"/>
      <c r="AG167" s="31"/>
    </row>
    <row r="168" spans="1:33" s="1" customFormat="1" ht="33" customHeight="1">
      <c r="A168" s="24" t="s">
        <v>2458</v>
      </c>
      <c r="B168" s="25" t="s">
        <v>2459</v>
      </c>
      <c r="C168" s="25"/>
      <c r="D168" s="25"/>
      <c r="E168" s="26" t="s">
        <v>2460</v>
      </c>
      <c r="F168" s="26"/>
      <c r="G168" s="26"/>
      <c r="H168" s="26"/>
      <c r="I168" s="26"/>
      <c r="J168" s="27" t="s">
        <v>2056</v>
      </c>
      <c r="K168" s="27"/>
      <c r="L168" s="27"/>
      <c r="M168" s="27"/>
      <c r="N168" s="28">
        <f>148</f>
        <v>148</v>
      </c>
      <c r="O168" s="28"/>
      <c r="P168" s="28"/>
      <c r="Q168" s="27" t="s">
        <v>2032</v>
      </c>
      <c r="R168" s="27"/>
      <c r="S168" s="29" t="s">
        <v>2032</v>
      </c>
      <c r="T168" s="29"/>
      <c r="U168" s="29"/>
      <c r="V168" s="29"/>
      <c r="W168" s="30" t="s">
        <v>2032</v>
      </c>
      <c r="X168" s="29" t="s">
        <v>2032</v>
      </c>
      <c r="Y168" s="29"/>
      <c r="Z168" s="29"/>
      <c r="AA168" s="29"/>
      <c r="AB168" s="27" t="s">
        <v>2056</v>
      </c>
      <c r="AC168" s="27"/>
      <c r="AD168" s="27"/>
      <c r="AE168" s="31">
        <f>148</f>
        <v>148</v>
      </c>
      <c r="AF168" s="31"/>
      <c r="AG168" s="31"/>
    </row>
    <row r="169" spans="1:33" s="1" customFormat="1" ht="18.75" customHeight="1">
      <c r="A169" s="24" t="s">
        <v>2461</v>
      </c>
      <c r="B169" s="25" t="s">
        <v>2462</v>
      </c>
      <c r="C169" s="25"/>
      <c r="D169" s="25"/>
      <c r="E169" s="26" t="s">
        <v>2463</v>
      </c>
      <c r="F169" s="26"/>
      <c r="G169" s="26"/>
      <c r="H169" s="26"/>
      <c r="I169" s="26"/>
      <c r="J169" s="27" t="s">
        <v>2056</v>
      </c>
      <c r="K169" s="27"/>
      <c r="L169" s="27"/>
      <c r="M169" s="27"/>
      <c r="N169" s="28">
        <f>144</f>
        <v>144</v>
      </c>
      <c r="O169" s="28"/>
      <c r="P169" s="28"/>
      <c r="Q169" s="27" t="s">
        <v>2032</v>
      </c>
      <c r="R169" s="27"/>
      <c r="S169" s="29" t="s">
        <v>2032</v>
      </c>
      <c r="T169" s="29"/>
      <c r="U169" s="29"/>
      <c r="V169" s="29"/>
      <c r="W169" s="30" t="s">
        <v>2032</v>
      </c>
      <c r="X169" s="29" t="s">
        <v>2032</v>
      </c>
      <c r="Y169" s="29"/>
      <c r="Z169" s="29"/>
      <c r="AA169" s="29"/>
      <c r="AB169" s="27" t="s">
        <v>2056</v>
      </c>
      <c r="AC169" s="27"/>
      <c r="AD169" s="27"/>
      <c r="AE169" s="31">
        <f>144</f>
        <v>144</v>
      </c>
      <c r="AF169" s="31"/>
      <c r="AG169" s="31"/>
    </row>
    <row r="170" spans="1:33" s="1" customFormat="1" ht="18.75" customHeight="1">
      <c r="A170" s="24" t="s">
        <v>2464</v>
      </c>
      <c r="B170" s="25" t="s">
        <v>2465</v>
      </c>
      <c r="C170" s="25"/>
      <c r="D170" s="25"/>
      <c r="E170" s="26" t="s">
        <v>2466</v>
      </c>
      <c r="F170" s="26"/>
      <c r="G170" s="26"/>
      <c r="H170" s="26"/>
      <c r="I170" s="26"/>
      <c r="J170" s="27" t="s">
        <v>2056</v>
      </c>
      <c r="K170" s="27"/>
      <c r="L170" s="27"/>
      <c r="M170" s="27"/>
      <c r="N170" s="28">
        <f>144</f>
        <v>144</v>
      </c>
      <c r="O170" s="28"/>
      <c r="P170" s="28"/>
      <c r="Q170" s="27" t="s">
        <v>2032</v>
      </c>
      <c r="R170" s="27"/>
      <c r="S170" s="29" t="s">
        <v>2032</v>
      </c>
      <c r="T170" s="29"/>
      <c r="U170" s="29"/>
      <c r="V170" s="29"/>
      <c r="W170" s="30" t="s">
        <v>2032</v>
      </c>
      <c r="X170" s="29" t="s">
        <v>2032</v>
      </c>
      <c r="Y170" s="29"/>
      <c r="Z170" s="29"/>
      <c r="AA170" s="29"/>
      <c r="AB170" s="27" t="s">
        <v>2056</v>
      </c>
      <c r="AC170" s="27"/>
      <c r="AD170" s="27"/>
      <c r="AE170" s="31">
        <f>144</f>
        <v>144</v>
      </c>
      <c r="AF170" s="31"/>
      <c r="AG170" s="31"/>
    </row>
    <row r="171" spans="1:33" s="1" customFormat="1" ht="18.75" customHeight="1">
      <c r="A171" s="24" t="s">
        <v>2467</v>
      </c>
      <c r="B171" s="25" t="s">
        <v>2468</v>
      </c>
      <c r="C171" s="25"/>
      <c r="D171" s="25"/>
      <c r="E171" s="26" t="s">
        <v>2469</v>
      </c>
      <c r="F171" s="26"/>
      <c r="G171" s="26"/>
      <c r="H171" s="26"/>
      <c r="I171" s="26"/>
      <c r="J171" s="27" t="s">
        <v>2056</v>
      </c>
      <c r="K171" s="27"/>
      <c r="L171" s="27"/>
      <c r="M171" s="27"/>
      <c r="N171" s="28">
        <f>62</f>
        <v>62</v>
      </c>
      <c r="O171" s="28"/>
      <c r="P171" s="28"/>
      <c r="Q171" s="27" t="s">
        <v>2032</v>
      </c>
      <c r="R171" s="27"/>
      <c r="S171" s="29" t="s">
        <v>2032</v>
      </c>
      <c r="T171" s="29"/>
      <c r="U171" s="29"/>
      <c r="V171" s="29"/>
      <c r="W171" s="30" t="s">
        <v>2032</v>
      </c>
      <c r="X171" s="29" t="s">
        <v>2032</v>
      </c>
      <c r="Y171" s="29"/>
      <c r="Z171" s="29"/>
      <c r="AA171" s="29"/>
      <c r="AB171" s="27" t="s">
        <v>2056</v>
      </c>
      <c r="AC171" s="27"/>
      <c r="AD171" s="27"/>
      <c r="AE171" s="31">
        <f>62</f>
        <v>62</v>
      </c>
      <c r="AF171" s="31"/>
      <c r="AG171" s="31"/>
    </row>
    <row r="172" spans="1:33" s="1" customFormat="1" ht="18.75" customHeight="1">
      <c r="A172" s="24" t="s">
        <v>2470</v>
      </c>
      <c r="B172" s="25" t="s">
        <v>2471</v>
      </c>
      <c r="C172" s="25"/>
      <c r="D172" s="25"/>
      <c r="E172" s="26" t="s">
        <v>2472</v>
      </c>
      <c r="F172" s="26"/>
      <c r="G172" s="26"/>
      <c r="H172" s="26"/>
      <c r="I172" s="26"/>
      <c r="J172" s="27" t="s">
        <v>2056</v>
      </c>
      <c r="K172" s="27"/>
      <c r="L172" s="27"/>
      <c r="M172" s="27"/>
      <c r="N172" s="28">
        <f>62</f>
        <v>62</v>
      </c>
      <c r="O172" s="28"/>
      <c r="P172" s="28"/>
      <c r="Q172" s="27" t="s">
        <v>2032</v>
      </c>
      <c r="R172" s="27"/>
      <c r="S172" s="29" t="s">
        <v>2032</v>
      </c>
      <c r="T172" s="29"/>
      <c r="U172" s="29"/>
      <c r="V172" s="29"/>
      <c r="W172" s="30" t="s">
        <v>2032</v>
      </c>
      <c r="X172" s="29" t="s">
        <v>2032</v>
      </c>
      <c r="Y172" s="29"/>
      <c r="Z172" s="29"/>
      <c r="AA172" s="29"/>
      <c r="AB172" s="27" t="s">
        <v>2056</v>
      </c>
      <c r="AC172" s="27"/>
      <c r="AD172" s="27"/>
      <c r="AE172" s="31">
        <f>62</f>
        <v>62</v>
      </c>
      <c r="AF172" s="31"/>
      <c r="AG172" s="31"/>
    </row>
    <row r="173" spans="1:33" s="1" customFormat="1" ht="18.75" customHeight="1">
      <c r="A173" s="24" t="s">
        <v>2473</v>
      </c>
      <c r="B173" s="25" t="s">
        <v>2474</v>
      </c>
      <c r="C173" s="25"/>
      <c r="D173" s="25"/>
      <c r="E173" s="26" t="s">
        <v>2475</v>
      </c>
      <c r="F173" s="26"/>
      <c r="G173" s="26"/>
      <c r="H173" s="26"/>
      <c r="I173" s="26"/>
      <c r="J173" s="27" t="s">
        <v>2056</v>
      </c>
      <c r="K173" s="27"/>
      <c r="L173" s="27"/>
      <c r="M173" s="27"/>
      <c r="N173" s="28">
        <f>58</f>
        <v>58</v>
      </c>
      <c r="O173" s="28"/>
      <c r="P173" s="28"/>
      <c r="Q173" s="27" t="s">
        <v>2032</v>
      </c>
      <c r="R173" s="27"/>
      <c r="S173" s="29" t="s">
        <v>2032</v>
      </c>
      <c r="T173" s="29"/>
      <c r="U173" s="29"/>
      <c r="V173" s="29"/>
      <c r="W173" s="30" t="s">
        <v>2032</v>
      </c>
      <c r="X173" s="29" t="s">
        <v>2032</v>
      </c>
      <c r="Y173" s="29"/>
      <c r="Z173" s="29"/>
      <c r="AA173" s="29"/>
      <c r="AB173" s="27" t="s">
        <v>2056</v>
      </c>
      <c r="AC173" s="27"/>
      <c r="AD173" s="27"/>
      <c r="AE173" s="31">
        <f>58</f>
        <v>58</v>
      </c>
      <c r="AF173" s="31"/>
      <c r="AG173" s="31"/>
    </row>
    <row r="174" spans="1:33" s="1" customFormat="1" ht="18.75" customHeight="1">
      <c r="A174" s="24" t="s">
        <v>2476</v>
      </c>
      <c r="B174" s="25" t="s">
        <v>2477</v>
      </c>
      <c r="C174" s="25"/>
      <c r="D174" s="25"/>
      <c r="E174" s="26" t="s">
        <v>2478</v>
      </c>
      <c r="F174" s="26"/>
      <c r="G174" s="26"/>
      <c r="H174" s="26"/>
      <c r="I174" s="26"/>
      <c r="J174" s="27" t="s">
        <v>2056</v>
      </c>
      <c r="K174" s="27"/>
      <c r="L174" s="27"/>
      <c r="M174" s="27"/>
      <c r="N174" s="28">
        <f>894.99</f>
        <v>894.99</v>
      </c>
      <c r="O174" s="28"/>
      <c r="P174" s="28"/>
      <c r="Q174" s="27" t="s">
        <v>2032</v>
      </c>
      <c r="R174" s="27"/>
      <c r="S174" s="29" t="s">
        <v>2032</v>
      </c>
      <c r="T174" s="29"/>
      <c r="U174" s="29"/>
      <c r="V174" s="29"/>
      <c r="W174" s="30" t="s">
        <v>2032</v>
      </c>
      <c r="X174" s="29" t="s">
        <v>2032</v>
      </c>
      <c r="Y174" s="29"/>
      <c r="Z174" s="29"/>
      <c r="AA174" s="29"/>
      <c r="AB174" s="27" t="s">
        <v>2056</v>
      </c>
      <c r="AC174" s="27"/>
      <c r="AD174" s="27"/>
      <c r="AE174" s="31">
        <f>894.99</f>
        <v>894.99</v>
      </c>
      <c r="AF174" s="31"/>
      <c r="AG174" s="31"/>
    </row>
    <row r="175" spans="1:33" s="1" customFormat="1" ht="33" customHeight="1">
      <c r="A175" s="24" t="s">
        <v>2479</v>
      </c>
      <c r="B175" s="25" t="s">
        <v>2480</v>
      </c>
      <c r="C175" s="25"/>
      <c r="D175" s="25"/>
      <c r="E175" s="26" t="s">
        <v>2481</v>
      </c>
      <c r="F175" s="26"/>
      <c r="G175" s="26"/>
      <c r="H175" s="26"/>
      <c r="I175" s="26"/>
      <c r="J175" s="27" t="s">
        <v>2056</v>
      </c>
      <c r="K175" s="27"/>
      <c r="L175" s="27"/>
      <c r="M175" s="27"/>
      <c r="N175" s="28">
        <f>1640.46</f>
        <v>1640.46</v>
      </c>
      <c r="O175" s="28"/>
      <c r="P175" s="28"/>
      <c r="Q175" s="27" t="s">
        <v>2032</v>
      </c>
      <c r="R175" s="27"/>
      <c r="S175" s="29" t="s">
        <v>2032</v>
      </c>
      <c r="T175" s="29"/>
      <c r="U175" s="29"/>
      <c r="V175" s="29"/>
      <c r="W175" s="30" t="s">
        <v>2032</v>
      </c>
      <c r="X175" s="29" t="s">
        <v>2032</v>
      </c>
      <c r="Y175" s="29"/>
      <c r="Z175" s="29"/>
      <c r="AA175" s="29"/>
      <c r="AB175" s="27" t="s">
        <v>2056</v>
      </c>
      <c r="AC175" s="27"/>
      <c r="AD175" s="27"/>
      <c r="AE175" s="31">
        <f>1640.46</f>
        <v>1640.46</v>
      </c>
      <c r="AF175" s="31"/>
      <c r="AG175" s="31"/>
    </row>
    <row r="176" spans="1:33" s="1" customFormat="1" ht="18.75" customHeight="1">
      <c r="A176" s="24" t="s">
        <v>2482</v>
      </c>
      <c r="B176" s="25" t="s">
        <v>2483</v>
      </c>
      <c r="C176" s="25"/>
      <c r="D176" s="25"/>
      <c r="E176" s="26" t="s">
        <v>2484</v>
      </c>
      <c r="F176" s="26"/>
      <c r="G176" s="26"/>
      <c r="H176" s="26"/>
      <c r="I176" s="26"/>
      <c r="J176" s="27" t="s">
        <v>2056</v>
      </c>
      <c r="K176" s="27"/>
      <c r="L176" s="27"/>
      <c r="M176" s="27"/>
      <c r="N176" s="28">
        <f>66</f>
        <v>66</v>
      </c>
      <c r="O176" s="28"/>
      <c r="P176" s="28"/>
      <c r="Q176" s="27" t="s">
        <v>2032</v>
      </c>
      <c r="R176" s="27"/>
      <c r="S176" s="29" t="s">
        <v>2032</v>
      </c>
      <c r="T176" s="29"/>
      <c r="U176" s="29"/>
      <c r="V176" s="29"/>
      <c r="W176" s="30" t="s">
        <v>2032</v>
      </c>
      <c r="X176" s="29" t="s">
        <v>2032</v>
      </c>
      <c r="Y176" s="29"/>
      <c r="Z176" s="29"/>
      <c r="AA176" s="29"/>
      <c r="AB176" s="27" t="s">
        <v>2056</v>
      </c>
      <c r="AC176" s="27"/>
      <c r="AD176" s="27"/>
      <c r="AE176" s="31">
        <f>66</f>
        <v>66</v>
      </c>
      <c r="AF176" s="31"/>
      <c r="AG176" s="31"/>
    </row>
    <row r="177" spans="1:33" s="1" customFormat="1" ht="18.75" customHeight="1">
      <c r="A177" s="24" t="s">
        <v>2485</v>
      </c>
      <c r="B177" s="25" t="s">
        <v>2486</v>
      </c>
      <c r="C177" s="25"/>
      <c r="D177" s="25"/>
      <c r="E177" s="26" t="s">
        <v>2487</v>
      </c>
      <c r="F177" s="26"/>
      <c r="G177" s="26"/>
      <c r="H177" s="26"/>
      <c r="I177" s="26"/>
      <c r="J177" s="27" t="s">
        <v>2056</v>
      </c>
      <c r="K177" s="27"/>
      <c r="L177" s="27"/>
      <c r="M177" s="27"/>
      <c r="N177" s="28">
        <f>68</f>
        <v>68</v>
      </c>
      <c r="O177" s="28"/>
      <c r="P177" s="28"/>
      <c r="Q177" s="27" t="s">
        <v>2032</v>
      </c>
      <c r="R177" s="27"/>
      <c r="S177" s="29" t="s">
        <v>2032</v>
      </c>
      <c r="T177" s="29"/>
      <c r="U177" s="29"/>
      <c r="V177" s="29"/>
      <c r="W177" s="30" t="s">
        <v>2032</v>
      </c>
      <c r="X177" s="29" t="s">
        <v>2032</v>
      </c>
      <c r="Y177" s="29"/>
      <c r="Z177" s="29"/>
      <c r="AA177" s="29"/>
      <c r="AB177" s="27" t="s">
        <v>2056</v>
      </c>
      <c r="AC177" s="27"/>
      <c r="AD177" s="27"/>
      <c r="AE177" s="31">
        <f>68</f>
        <v>68</v>
      </c>
      <c r="AF177" s="31"/>
      <c r="AG177" s="31"/>
    </row>
    <row r="178" spans="1:33" s="1" customFormat="1" ht="18.75" customHeight="1">
      <c r="A178" s="24" t="s">
        <v>2488</v>
      </c>
      <c r="B178" s="25" t="s">
        <v>2489</v>
      </c>
      <c r="C178" s="25"/>
      <c r="D178" s="25"/>
      <c r="E178" s="26" t="s">
        <v>2490</v>
      </c>
      <c r="F178" s="26"/>
      <c r="G178" s="26"/>
      <c r="H178" s="26"/>
      <c r="I178" s="26"/>
      <c r="J178" s="27" t="s">
        <v>2056</v>
      </c>
      <c r="K178" s="27"/>
      <c r="L178" s="27"/>
      <c r="M178" s="27"/>
      <c r="N178" s="28">
        <f>146</f>
        <v>146</v>
      </c>
      <c r="O178" s="28"/>
      <c r="P178" s="28"/>
      <c r="Q178" s="27" t="s">
        <v>2032</v>
      </c>
      <c r="R178" s="27"/>
      <c r="S178" s="29" t="s">
        <v>2032</v>
      </c>
      <c r="T178" s="29"/>
      <c r="U178" s="29"/>
      <c r="V178" s="29"/>
      <c r="W178" s="30" t="s">
        <v>2032</v>
      </c>
      <c r="X178" s="29" t="s">
        <v>2032</v>
      </c>
      <c r="Y178" s="29"/>
      <c r="Z178" s="29"/>
      <c r="AA178" s="29"/>
      <c r="AB178" s="27" t="s">
        <v>2056</v>
      </c>
      <c r="AC178" s="27"/>
      <c r="AD178" s="27"/>
      <c r="AE178" s="31">
        <f>146</f>
        <v>146</v>
      </c>
      <c r="AF178" s="31"/>
      <c r="AG178" s="31"/>
    </row>
    <row r="179" spans="1:33" s="1" customFormat="1" ht="18.75" customHeight="1">
      <c r="A179" s="24" t="s">
        <v>2491</v>
      </c>
      <c r="B179" s="25" t="s">
        <v>2492</v>
      </c>
      <c r="C179" s="25"/>
      <c r="D179" s="25"/>
      <c r="E179" s="26" t="s">
        <v>2493</v>
      </c>
      <c r="F179" s="26"/>
      <c r="G179" s="26"/>
      <c r="H179" s="26"/>
      <c r="I179" s="26"/>
      <c r="J179" s="27" t="s">
        <v>2056</v>
      </c>
      <c r="K179" s="27"/>
      <c r="L179" s="27"/>
      <c r="M179" s="27"/>
      <c r="N179" s="28">
        <f>146</f>
        <v>146</v>
      </c>
      <c r="O179" s="28"/>
      <c r="P179" s="28"/>
      <c r="Q179" s="27" t="s">
        <v>2032</v>
      </c>
      <c r="R179" s="27"/>
      <c r="S179" s="29" t="s">
        <v>2032</v>
      </c>
      <c r="T179" s="29"/>
      <c r="U179" s="29"/>
      <c r="V179" s="29"/>
      <c r="W179" s="30" t="s">
        <v>2032</v>
      </c>
      <c r="X179" s="29" t="s">
        <v>2032</v>
      </c>
      <c r="Y179" s="29"/>
      <c r="Z179" s="29"/>
      <c r="AA179" s="29"/>
      <c r="AB179" s="27" t="s">
        <v>2056</v>
      </c>
      <c r="AC179" s="27"/>
      <c r="AD179" s="27"/>
      <c r="AE179" s="31">
        <f>146</f>
        <v>146</v>
      </c>
      <c r="AF179" s="31"/>
      <c r="AG179" s="31"/>
    </row>
    <row r="180" spans="1:33" s="1" customFormat="1" ht="18.75" customHeight="1">
      <c r="A180" s="24" t="s">
        <v>2494</v>
      </c>
      <c r="B180" s="25" t="s">
        <v>2495</v>
      </c>
      <c r="C180" s="25"/>
      <c r="D180" s="25"/>
      <c r="E180" s="26" t="s">
        <v>2496</v>
      </c>
      <c r="F180" s="26"/>
      <c r="G180" s="26"/>
      <c r="H180" s="26"/>
      <c r="I180" s="26"/>
      <c r="J180" s="27" t="s">
        <v>2056</v>
      </c>
      <c r="K180" s="27"/>
      <c r="L180" s="27"/>
      <c r="M180" s="27"/>
      <c r="N180" s="28">
        <f>146</f>
        <v>146</v>
      </c>
      <c r="O180" s="28"/>
      <c r="P180" s="28"/>
      <c r="Q180" s="27" t="s">
        <v>2032</v>
      </c>
      <c r="R180" s="27"/>
      <c r="S180" s="29" t="s">
        <v>2032</v>
      </c>
      <c r="T180" s="29"/>
      <c r="U180" s="29"/>
      <c r="V180" s="29"/>
      <c r="W180" s="30" t="s">
        <v>2032</v>
      </c>
      <c r="X180" s="29" t="s">
        <v>2032</v>
      </c>
      <c r="Y180" s="29"/>
      <c r="Z180" s="29"/>
      <c r="AA180" s="29"/>
      <c r="AB180" s="27" t="s">
        <v>2056</v>
      </c>
      <c r="AC180" s="27"/>
      <c r="AD180" s="27"/>
      <c r="AE180" s="31">
        <f>146</f>
        <v>146</v>
      </c>
      <c r="AF180" s="31"/>
      <c r="AG180" s="31"/>
    </row>
    <row r="181" spans="1:33" s="1" customFormat="1" ht="18.75" customHeight="1">
      <c r="A181" s="24" t="s">
        <v>2497</v>
      </c>
      <c r="B181" s="25" t="s">
        <v>2498</v>
      </c>
      <c r="C181" s="25"/>
      <c r="D181" s="25"/>
      <c r="E181" s="26" t="s">
        <v>2499</v>
      </c>
      <c r="F181" s="26"/>
      <c r="G181" s="26"/>
      <c r="H181" s="26"/>
      <c r="I181" s="26"/>
      <c r="J181" s="27" t="s">
        <v>2056</v>
      </c>
      <c r="K181" s="27"/>
      <c r="L181" s="27"/>
      <c r="M181" s="27"/>
      <c r="N181" s="28">
        <f>146</f>
        <v>146</v>
      </c>
      <c r="O181" s="28"/>
      <c r="P181" s="28"/>
      <c r="Q181" s="27" t="s">
        <v>2032</v>
      </c>
      <c r="R181" s="27"/>
      <c r="S181" s="29" t="s">
        <v>2032</v>
      </c>
      <c r="T181" s="29"/>
      <c r="U181" s="29"/>
      <c r="V181" s="29"/>
      <c r="W181" s="30" t="s">
        <v>2032</v>
      </c>
      <c r="X181" s="29" t="s">
        <v>2032</v>
      </c>
      <c r="Y181" s="29"/>
      <c r="Z181" s="29"/>
      <c r="AA181" s="29"/>
      <c r="AB181" s="27" t="s">
        <v>2056</v>
      </c>
      <c r="AC181" s="27"/>
      <c r="AD181" s="27"/>
      <c r="AE181" s="31">
        <f>146</f>
        <v>146</v>
      </c>
      <c r="AF181" s="31"/>
      <c r="AG181" s="31"/>
    </row>
    <row r="182" spans="1:33" s="1" customFormat="1" ht="18.75" customHeight="1">
      <c r="A182" s="24" t="s">
        <v>2500</v>
      </c>
      <c r="B182" s="25" t="s">
        <v>2501</v>
      </c>
      <c r="C182" s="25"/>
      <c r="D182" s="25"/>
      <c r="E182" s="26" t="s">
        <v>2502</v>
      </c>
      <c r="F182" s="26"/>
      <c r="G182" s="26"/>
      <c r="H182" s="26"/>
      <c r="I182" s="26"/>
      <c r="J182" s="27" t="s">
        <v>2056</v>
      </c>
      <c r="K182" s="27"/>
      <c r="L182" s="27"/>
      <c r="M182" s="27"/>
      <c r="N182" s="28">
        <f>846</f>
        <v>846</v>
      </c>
      <c r="O182" s="28"/>
      <c r="P182" s="28"/>
      <c r="Q182" s="27" t="s">
        <v>2032</v>
      </c>
      <c r="R182" s="27"/>
      <c r="S182" s="29" t="s">
        <v>2032</v>
      </c>
      <c r="T182" s="29"/>
      <c r="U182" s="29"/>
      <c r="V182" s="29"/>
      <c r="W182" s="30" t="s">
        <v>2032</v>
      </c>
      <c r="X182" s="29" t="s">
        <v>2032</v>
      </c>
      <c r="Y182" s="29"/>
      <c r="Z182" s="29"/>
      <c r="AA182" s="29"/>
      <c r="AB182" s="27" t="s">
        <v>2056</v>
      </c>
      <c r="AC182" s="27"/>
      <c r="AD182" s="27"/>
      <c r="AE182" s="31">
        <f>846</f>
        <v>846</v>
      </c>
      <c r="AF182" s="31"/>
      <c r="AG182" s="31"/>
    </row>
    <row r="183" spans="1:33" s="1" customFormat="1" ht="18.75" customHeight="1">
      <c r="A183" s="24" t="s">
        <v>2503</v>
      </c>
      <c r="B183" s="25" t="s">
        <v>2504</v>
      </c>
      <c r="C183" s="25"/>
      <c r="D183" s="25"/>
      <c r="E183" s="26" t="s">
        <v>2505</v>
      </c>
      <c r="F183" s="26"/>
      <c r="G183" s="26"/>
      <c r="H183" s="26"/>
      <c r="I183" s="26"/>
      <c r="J183" s="27" t="s">
        <v>2056</v>
      </c>
      <c r="K183" s="27"/>
      <c r="L183" s="27"/>
      <c r="M183" s="27"/>
      <c r="N183" s="28">
        <f>68.99</f>
        <v>68.99</v>
      </c>
      <c r="O183" s="28"/>
      <c r="P183" s="28"/>
      <c r="Q183" s="27" t="s">
        <v>2032</v>
      </c>
      <c r="R183" s="27"/>
      <c r="S183" s="29" t="s">
        <v>2032</v>
      </c>
      <c r="T183" s="29"/>
      <c r="U183" s="29"/>
      <c r="V183" s="29"/>
      <c r="W183" s="30" t="s">
        <v>2032</v>
      </c>
      <c r="X183" s="29" t="s">
        <v>2032</v>
      </c>
      <c r="Y183" s="29"/>
      <c r="Z183" s="29"/>
      <c r="AA183" s="29"/>
      <c r="AB183" s="27" t="s">
        <v>2056</v>
      </c>
      <c r="AC183" s="27"/>
      <c r="AD183" s="27"/>
      <c r="AE183" s="31">
        <f>68.99</f>
        <v>68.99</v>
      </c>
      <c r="AF183" s="31"/>
      <c r="AG183" s="31"/>
    </row>
    <row r="184" spans="1:33" s="1" customFormat="1" ht="18.75" customHeight="1">
      <c r="A184" s="24" t="s">
        <v>2506</v>
      </c>
      <c r="B184" s="25" t="s">
        <v>2507</v>
      </c>
      <c r="C184" s="25"/>
      <c r="D184" s="25"/>
      <c r="E184" s="26" t="s">
        <v>2508</v>
      </c>
      <c r="F184" s="26"/>
      <c r="G184" s="26"/>
      <c r="H184" s="26"/>
      <c r="I184" s="26"/>
      <c r="J184" s="27" t="s">
        <v>2056</v>
      </c>
      <c r="K184" s="27"/>
      <c r="L184" s="27"/>
      <c r="M184" s="27"/>
      <c r="N184" s="28">
        <f>146</f>
        <v>146</v>
      </c>
      <c r="O184" s="28"/>
      <c r="P184" s="28"/>
      <c r="Q184" s="27" t="s">
        <v>2032</v>
      </c>
      <c r="R184" s="27"/>
      <c r="S184" s="29" t="s">
        <v>2032</v>
      </c>
      <c r="T184" s="29"/>
      <c r="U184" s="29"/>
      <c r="V184" s="29"/>
      <c r="W184" s="30" t="s">
        <v>2032</v>
      </c>
      <c r="X184" s="29" t="s">
        <v>2032</v>
      </c>
      <c r="Y184" s="29"/>
      <c r="Z184" s="29"/>
      <c r="AA184" s="29"/>
      <c r="AB184" s="27" t="s">
        <v>2056</v>
      </c>
      <c r="AC184" s="27"/>
      <c r="AD184" s="27"/>
      <c r="AE184" s="31">
        <f>146</f>
        <v>146</v>
      </c>
      <c r="AF184" s="31"/>
      <c r="AG184" s="31"/>
    </row>
    <row r="185" spans="1:33" s="1" customFormat="1" ht="18.75" customHeight="1">
      <c r="A185" s="24" t="s">
        <v>2509</v>
      </c>
      <c r="B185" s="25" t="s">
        <v>2510</v>
      </c>
      <c r="C185" s="25"/>
      <c r="D185" s="25"/>
      <c r="E185" s="26" t="s">
        <v>2511</v>
      </c>
      <c r="F185" s="26"/>
      <c r="G185" s="26"/>
      <c r="H185" s="26"/>
      <c r="I185" s="26"/>
      <c r="J185" s="27" t="s">
        <v>2056</v>
      </c>
      <c r="K185" s="27"/>
      <c r="L185" s="27"/>
      <c r="M185" s="27"/>
      <c r="N185" s="28">
        <f>68</f>
        <v>68</v>
      </c>
      <c r="O185" s="28"/>
      <c r="P185" s="28"/>
      <c r="Q185" s="27" t="s">
        <v>2032</v>
      </c>
      <c r="R185" s="27"/>
      <c r="S185" s="29" t="s">
        <v>2032</v>
      </c>
      <c r="T185" s="29"/>
      <c r="U185" s="29"/>
      <c r="V185" s="29"/>
      <c r="W185" s="30" t="s">
        <v>2032</v>
      </c>
      <c r="X185" s="29" t="s">
        <v>2032</v>
      </c>
      <c r="Y185" s="29"/>
      <c r="Z185" s="29"/>
      <c r="AA185" s="29"/>
      <c r="AB185" s="27" t="s">
        <v>2056</v>
      </c>
      <c r="AC185" s="27"/>
      <c r="AD185" s="27"/>
      <c r="AE185" s="31">
        <f>68</f>
        <v>68</v>
      </c>
      <c r="AF185" s="31"/>
      <c r="AG185" s="31"/>
    </row>
    <row r="186" spans="1:33" s="1" customFormat="1" ht="18.75" customHeight="1">
      <c r="A186" s="24" t="s">
        <v>2512</v>
      </c>
      <c r="B186" s="25" t="s">
        <v>2513</v>
      </c>
      <c r="C186" s="25"/>
      <c r="D186" s="25"/>
      <c r="E186" s="26" t="s">
        <v>2514</v>
      </c>
      <c r="F186" s="26"/>
      <c r="G186" s="26"/>
      <c r="H186" s="26"/>
      <c r="I186" s="26"/>
      <c r="J186" s="27" t="s">
        <v>2056</v>
      </c>
      <c r="K186" s="27"/>
      <c r="L186" s="27"/>
      <c r="M186" s="27"/>
      <c r="N186" s="28">
        <f>351</f>
        <v>351</v>
      </c>
      <c r="O186" s="28"/>
      <c r="P186" s="28"/>
      <c r="Q186" s="27" t="s">
        <v>2032</v>
      </c>
      <c r="R186" s="27"/>
      <c r="S186" s="29" t="s">
        <v>2032</v>
      </c>
      <c r="T186" s="29"/>
      <c r="U186" s="29"/>
      <c r="V186" s="29"/>
      <c r="W186" s="30" t="s">
        <v>2032</v>
      </c>
      <c r="X186" s="29" t="s">
        <v>2032</v>
      </c>
      <c r="Y186" s="29"/>
      <c r="Z186" s="29"/>
      <c r="AA186" s="29"/>
      <c r="AB186" s="27" t="s">
        <v>2056</v>
      </c>
      <c r="AC186" s="27"/>
      <c r="AD186" s="27"/>
      <c r="AE186" s="31">
        <f>351</f>
        <v>351</v>
      </c>
      <c r="AF186" s="31"/>
      <c r="AG186" s="31"/>
    </row>
    <row r="187" spans="1:33" s="1" customFormat="1" ht="33" customHeight="1">
      <c r="A187" s="24" t="s">
        <v>2515</v>
      </c>
      <c r="B187" s="25" t="s">
        <v>2516</v>
      </c>
      <c r="C187" s="25"/>
      <c r="D187" s="25"/>
      <c r="E187" s="26" t="s">
        <v>2517</v>
      </c>
      <c r="F187" s="26"/>
      <c r="G187" s="26"/>
      <c r="H187" s="26"/>
      <c r="I187" s="26"/>
      <c r="J187" s="27" t="s">
        <v>2056</v>
      </c>
      <c r="K187" s="27"/>
      <c r="L187" s="27"/>
      <c r="M187" s="27"/>
      <c r="N187" s="28">
        <f>66</f>
        <v>66</v>
      </c>
      <c r="O187" s="28"/>
      <c r="P187" s="28"/>
      <c r="Q187" s="27" t="s">
        <v>2032</v>
      </c>
      <c r="R187" s="27"/>
      <c r="S187" s="29" t="s">
        <v>2032</v>
      </c>
      <c r="T187" s="29"/>
      <c r="U187" s="29"/>
      <c r="V187" s="29"/>
      <c r="W187" s="30" t="s">
        <v>2032</v>
      </c>
      <c r="X187" s="29" t="s">
        <v>2032</v>
      </c>
      <c r="Y187" s="29"/>
      <c r="Z187" s="29"/>
      <c r="AA187" s="29"/>
      <c r="AB187" s="27" t="s">
        <v>2056</v>
      </c>
      <c r="AC187" s="27"/>
      <c r="AD187" s="27"/>
      <c r="AE187" s="31">
        <f>66</f>
        <v>66</v>
      </c>
      <c r="AF187" s="31"/>
      <c r="AG187" s="31"/>
    </row>
    <row r="188" spans="1:33" s="1" customFormat="1" ht="18.75" customHeight="1">
      <c r="A188" s="24" t="s">
        <v>2518</v>
      </c>
      <c r="B188" s="25" t="s">
        <v>2519</v>
      </c>
      <c r="C188" s="25"/>
      <c r="D188" s="25"/>
      <c r="E188" s="26" t="s">
        <v>2520</v>
      </c>
      <c r="F188" s="26"/>
      <c r="G188" s="26"/>
      <c r="H188" s="26"/>
      <c r="I188" s="26"/>
      <c r="J188" s="27" t="s">
        <v>2056</v>
      </c>
      <c r="K188" s="27"/>
      <c r="L188" s="27"/>
      <c r="M188" s="27"/>
      <c r="N188" s="28">
        <f>204</f>
        <v>204</v>
      </c>
      <c r="O188" s="28"/>
      <c r="P188" s="28"/>
      <c r="Q188" s="27" t="s">
        <v>2032</v>
      </c>
      <c r="R188" s="27"/>
      <c r="S188" s="29" t="s">
        <v>2032</v>
      </c>
      <c r="T188" s="29"/>
      <c r="U188" s="29"/>
      <c r="V188" s="29"/>
      <c r="W188" s="30" t="s">
        <v>2032</v>
      </c>
      <c r="X188" s="29" t="s">
        <v>2032</v>
      </c>
      <c r="Y188" s="29"/>
      <c r="Z188" s="29"/>
      <c r="AA188" s="29"/>
      <c r="AB188" s="27" t="s">
        <v>2056</v>
      </c>
      <c r="AC188" s="27"/>
      <c r="AD188" s="27"/>
      <c r="AE188" s="31">
        <f>204</f>
        <v>204</v>
      </c>
      <c r="AF188" s="31"/>
      <c r="AG188" s="31"/>
    </row>
    <row r="189" spans="1:33" s="1" customFormat="1" ht="18.75" customHeight="1">
      <c r="A189" s="24" t="s">
        <v>2521</v>
      </c>
      <c r="B189" s="25" t="s">
        <v>2522</v>
      </c>
      <c r="C189" s="25"/>
      <c r="D189" s="25"/>
      <c r="E189" s="26" t="s">
        <v>2523</v>
      </c>
      <c r="F189" s="26"/>
      <c r="G189" s="26"/>
      <c r="H189" s="26"/>
      <c r="I189" s="26"/>
      <c r="J189" s="27" t="s">
        <v>2057</v>
      </c>
      <c r="K189" s="27"/>
      <c r="L189" s="27"/>
      <c r="M189" s="27"/>
      <c r="N189" s="28">
        <f>420</f>
        <v>420</v>
      </c>
      <c r="O189" s="28"/>
      <c r="P189" s="28"/>
      <c r="Q189" s="27" t="s">
        <v>2032</v>
      </c>
      <c r="R189" s="27"/>
      <c r="S189" s="29" t="s">
        <v>2032</v>
      </c>
      <c r="T189" s="29"/>
      <c r="U189" s="29"/>
      <c r="V189" s="29"/>
      <c r="W189" s="30" t="s">
        <v>2032</v>
      </c>
      <c r="X189" s="29" t="s">
        <v>2032</v>
      </c>
      <c r="Y189" s="29"/>
      <c r="Z189" s="29"/>
      <c r="AA189" s="29"/>
      <c r="AB189" s="27" t="s">
        <v>2057</v>
      </c>
      <c r="AC189" s="27"/>
      <c r="AD189" s="27"/>
      <c r="AE189" s="31">
        <f>420</f>
        <v>420</v>
      </c>
      <c r="AF189" s="31"/>
      <c r="AG189" s="31"/>
    </row>
    <row r="190" spans="1:33" s="1" customFormat="1" ht="33" customHeight="1">
      <c r="A190" s="24" t="s">
        <v>2524</v>
      </c>
      <c r="B190" s="25" t="s">
        <v>2525</v>
      </c>
      <c r="C190" s="25"/>
      <c r="D190" s="25"/>
      <c r="E190" s="26" t="s">
        <v>2526</v>
      </c>
      <c r="F190" s="26"/>
      <c r="G190" s="26"/>
      <c r="H190" s="26"/>
      <c r="I190" s="26"/>
      <c r="J190" s="27" t="s">
        <v>2057</v>
      </c>
      <c r="K190" s="27"/>
      <c r="L190" s="27"/>
      <c r="M190" s="27"/>
      <c r="N190" s="28">
        <f>424</f>
        <v>424</v>
      </c>
      <c r="O190" s="28"/>
      <c r="P190" s="28"/>
      <c r="Q190" s="27" t="s">
        <v>2032</v>
      </c>
      <c r="R190" s="27"/>
      <c r="S190" s="29" t="s">
        <v>2032</v>
      </c>
      <c r="T190" s="29"/>
      <c r="U190" s="29"/>
      <c r="V190" s="29"/>
      <c r="W190" s="30" t="s">
        <v>2032</v>
      </c>
      <c r="X190" s="29" t="s">
        <v>2032</v>
      </c>
      <c r="Y190" s="29"/>
      <c r="Z190" s="29"/>
      <c r="AA190" s="29"/>
      <c r="AB190" s="27" t="s">
        <v>2057</v>
      </c>
      <c r="AC190" s="27"/>
      <c r="AD190" s="27"/>
      <c r="AE190" s="31">
        <f>424</f>
        <v>424</v>
      </c>
      <c r="AF190" s="31"/>
      <c r="AG190" s="31"/>
    </row>
    <row r="191" spans="1:33" s="1" customFormat="1" ht="18.75" customHeight="1">
      <c r="A191" s="24" t="s">
        <v>2527</v>
      </c>
      <c r="B191" s="25" t="s">
        <v>2528</v>
      </c>
      <c r="C191" s="25"/>
      <c r="D191" s="25"/>
      <c r="E191" s="26" t="s">
        <v>2529</v>
      </c>
      <c r="F191" s="26"/>
      <c r="G191" s="26"/>
      <c r="H191" s="26"/>
      <c r="I191" s="26"/>
      <c r="J191" s="27" t="s">
        <v>2056</v>
      </c>
      <c r="K191" s="27"/>
      <c r="L191" s="27"/>
      <c r="M191" s="27"/>
      <c r="N191" s="28">
        <f>212</f>
        <v>212</v>
      </c>
      <c r="O191" s="28"/>
      <c r="P191" s="28"/>
      <c r="Q191" s="27" t="s">
        <v>2032</v>
      </c>
      <c r="R191" s="27"/>
      <c r="S191" s="29" t="s">
        <v>2032</v>
      </c>
      <c r="T191" s="29"/>
      <c r="U191" s="29"/>
      <c r="V191" s="29"/>
      <c r="W191" s="30" t="s">
        <v>2032</v>
      </c>
      <c r="X191" s="29" t="s">
        <v>2032</v>
      </c>
      <c r="Y191" s="29"/>
      <c r="Z191" s="29"/>
      <c r="AA191" s="29"/>
      <c r="AB191" s="27" t="s">
        <v>2056</v>
      </c>
      <c r="AC191" s="27"/>
      <c r="AD191" s="27"/>
      <c r="AE191" s="31">
        <f>212</f>
        <v>212</v>
      </c>
      <c r="AF191" s="31"/>
      <c r="AG191" s="31"/>
    </row>
    <row r="192" spans="1:33" s="1" customFormat="1" ht="18.75" customHeight="1">
      <c r="A192" s="24" t="s">
        <v>2530</v>
      </c>
      <c r="B192" s="25" t="s">
        <v>2531</v>
      </c>
      <c r="C192" s="25"/>
      <c r="D192" s="25"/>
      <c r="E192" s="26" t="s">
        <v>2532</v>
      </c>
      <c r="F192" s="26"/>
      <c r="G192" s="26"/>
      <c r="H192" s="26"/>
      <c r="I192" s="26"/>
      <c r="J192" s="27" t="s">
        <v>2056</v>
      </c>
      <c r="K192" s="27"/>
      <c r="L192" s="27"/>
      <c r="M192" s="27"/>
      <c r="N192" s="28">
        <f>204</f>
        <v>204</v>
      </c>
      <c r="O192" s="28"/>
      <c r="P192" s="28"/>
      <c r="Q192" s="27" t="s">
        <v>2032</v>
      </c>
      <c r="R192" s="27"/>
      <c r="S192" s="29" t="s">
        <v>2032</v>
      </c>
      <c r="T192" s="29"/>
      <c r="U192" s="29"/>
      <c r="V192" s="29"/>
      <c r="W192" s="30" t="s">
        <v>2032</v>
      </c>
      <c r="X192" s="29" t="s">
        <v>2032</v>
      </c>
      <c r="Y192" s="29"/>
      <c r="Z192" s="29"/>
      <c r="AA192" s="29"/>
      <c r="AB192" s="27" t="s">
        <v>2056</v>
      </c>
      <c r="AC192" s="27"/>
      <c r="AD192" s="27"/>
      <c r="AE192" s="31">
        <f>204</f>
        <v>204</v>
      </c>
      <c r="AF192" s="31"/>
      <c r="AG192" s="31"/>
    </row>
    <row r="193" spans="1:33" s="1" customFormat="1" ht="33" customHeight="1">
      <c r="A193" s="24" t="s">
        <v>2533</v>
      </c>
      <c r="B193" s="25" t="s">
        <v>2534</v>
      </c>
      <c r="C193" s="25"/>
      <c r="D193" s="25"/>
      <c r="E193" s="26" t="s">
        <v>2535</v>
      </c>
      <c r="F193" s="26"/>
      <c r="G193" s="26"/>
      <c r="H193" s="26"/>
      <c r="I193" s="26"/>
      <c r="J193" s="27" t="s">
        <v>2056</v>
      </c>
      <c r="K193" s="27"/>
      <c r="L193" s="27"/>
      <c r="M193" s="27"/>
      <c r="N193" s="28">
        <f>212</f>
        <v>212</v>
      </c>
      <c r="O193" s="28"/>
      <c r="P193" s="28"/>
      <c r="Q193" s="27" t="s">
        <v>2032</v>
      </c>
      <c r="R193" s="27"/>
      <c r="S193" s="29" t="s">
        <v>2032</v>
      </c>
      <c r="T193" s="29"/>
      <c r="U193" s="29"/>
      <c r="V193" s="29"/>
      <c r="W193" s="30" t="s">
        <v>2032</v>
      </c>
      <c r="X193" s="29" t="s">
        <v>2032</v>
      </c>
      <c r="Y193" s="29"/>
      <c r="Z193" s="29"/>
      <c r="AA193" s="29"/>
      <c r="AB193" s="27" t="s">
        <v>2056</v>
      </c>
      <c r="AC193" s="27"/>
      <c r="AD193" s="27"/>
      <c r="AE193" s="31">
        <f>212</f>
        <v>212</v>
      </c>
      <c r="AF193" s="31"/>
      <c r="AG193" s="31"/>
    </row>
    <row r="194" spans="1:33" s="1" customFormat="1" ht="18.75" customHeight="1">
      <c r="A194" s="24" t="s">
        <v>2536</v>
      </c>
      <c r="B194" s="25" t="s">
        <v>2537</v>
      </c>
      <c r="C194" s="25"/>
      <c r="D194" s="25"/>
      <c r="E194" s="26" t="s">
        <v>2538</v>
      </c>
      <c r="F194" s="26"/>
      <c r="G194" s="26"/>
      <c r="H194" s="26"/>
      <c r="I194" s="26"/>
      <c r="J194" s="27" t="s">
        <v>2056</v>
      </c>
      <c r="K194" s="27"/>
      <c r="L194" s="27"/>
      <c r="M194" s="27"/>
      <c r="N194" s="28">
        <f>200</f>
        <v>200</v>
      </c>
      <c r="O194" s="28"/>
      <c r="P194" s="28"/>
      <c r="Q194" s="27" t="s">
        <v>2032</v>
      </c>
      <c r="R194" s="27"/>
      <c r="S194" s="29" t="s">
        <v>2032</v>
      </c>
      <c r="T194" s="29"/>
      <c r="U194" s="29"/>
      <c r="V194" s="29"/>
      <c r="W194" s="30" t="s">
        <v>2032</v>
      </c>
      <c r="X194" s="29" t="s">
        <v>2032</v>
      </c>
      <c r="Y194" s="29"/>
      <c r="Z194" s="29"/>
      <c r="AA194" s="29"/>
      <c r="AB194" s="27" t="s">
        <v>2056</v>
      </c>
      <c r="AC194" s="27"/>
      <c r="AD194" s="27"/>
      <c r="AE194" s="31">
        <f>200</f>
        <v>200</v>
      </c>
      <c r="AF194" s="31"/>
      <c r="AG194" s="31"/>
    </row>
    <row r="195" spans="1:33" s="1" customFormat="1" ht="33" customHeight="1">
      <c r="A195" s="24" t="s">
        <v>2539</v>
      </c>
      <c r="B195" s="25" t="s">
        <v>2540</v>
      </c>
      <c r="C195" s="25"/>
      <c r="D195" s="25"/>
      <c r="E195" s="26" t="s">
        <v>2541</v>
      </c>
      <c r="F195" s="26"/>
      <c r="G195" s="26"/>
      <c r="H195" s="26"/>
      <c r="I195" s="26"/>
      <c r="J195" s="27" t="s">
        <v>2057</v>
      </c>
      <c r="K195" s="27"/>
      <c r="L195" s="27"/>
      <c r="M195" s="27"/>
      <c r="N195" s="28">
        <f>424</f>
        <v>424</v>
      </c>
      <c r="O195" s="28"/>
      <c r="P195" s="28"/>
      <c r="Q195" s="27" t="s">
        <v>2032</v>
      </c>
      <c r="R195" s="27"/>
      <c r="S195" s="29" t="s">
        <v>2032</v>
      </c>
      <c r="T195" s="29"/>
      <c r="U195" s="29"/>
      <c r="V195" s="29"/>
      <c r="W195" s="30" t="s">
        <v>2032</v>
      </c>
      <c r="X195" s="29" t="s">
        <v>2032</v>
      </c>
      <c r="Y195" s="29"/>
      <c r="Z195" s="29"/>
      <c r="AA195" s="29"/>
      <c r="AB195" s="27" t="s">
        <v>2057</v>
      </c>
      <c r="AC195" s="27"/>
      <c r="AD195" s="27"/>
      <c r="AE195" s="31">
        <f>424</f>
        <v>424</v>
      </c>
      <c r="AF195" s="31"/>
      <c r="AG195" s="31"/>
    </row>
    <row r="196" spans="1:33" s="1" customFormat="1" ht="18.75" customHeight="1">
      <c r="A196" s="24" t="s">
        <v>2542</v>
      </c>
      <c r="B196" s="25" t="s">
        <v>2543</v>
      </c>
      <c r="C196" s="25"/>
      <c r="D196" s="25"/>
      <c r="E196" s="26" t="s">
        <v>2544</v>
      </c>
      <c r="F196" s="26"/>
      <c r="G196" s="26"/>
      <c r="H196" s="26"/>
      <c r="I196" s="26"/>
      <c r="J196" s="27" t="s">
        <v>2057</v>
      </c>
      <c r="K196" s="27"/>
      <c r="L196" s="27"/>
      <c r="M196" s="27"/>
      <c r="N196" s="28">
        <f>424</f>
        <v>424</v>
      </c>
      <c r="O196" s="28"/>
      <c r="P196" s="28"/>
      <c r="Q196" s="27" t="s">
        <v>2032</v>
      </c>
      <c r="R196" s="27"/>
      <c r="S196" s="29" t="s">
        <v>2032</v>
      </c>
      <c r="T196" s="29"/>
      <c r="U196" s="29"/>
      <c r="V196" s="29"/>
      <c r="W196" s="30" t="s">
        <v>2032</v>
      </c>
      <c r="X196" s="29" t="s">
        <v>2032</v>
      </c>
      <c r="Y196" s="29"/>
      <c r="Z196" s="29"/>
      <c r="AA196" s="29"/>
      <c r="AB196" s="27" t="s">
        <v>2057</v>
      </c>
      <c r="AC196" s="27"/>
      <c r="AD196" s="27"/>
      <c r="AE196" s="31">
        <f>424</f>
        <v>424</v>
      </c>
      <c r="AF196" s="31"/>
      <c r="AG196" s="31"/>
    </row>
    <row r="197" spans="1:33" s="1" customFormat="1" ht="33" customHeight="1">
      <c r="A197" s="24" t="s">
        <v>2545</v>
      </c>
      <c r="B197" s="25" t="s">
        <v>2546</v>
      </c>
      <c r="C197" s="25"/>
      <c r="D197" s="25"/>
      <c r="E197" s="26" t="s">
        <v>2547</v>
      </c>
      <c r="F197" s="26"/>
      <c r="G197" s="26"/>
      <c r="H197" s="26"/>
      <c r="I197" s="26"/>
      <c r="J197" s="27" t="s">
        <v>2057</v>
      </c>
      <c r="K197" s="27"/>
      <c r="L197" s="27"/>
      <c r="M197" s="27"/>
      <c r="N197" s="28">
        <f>204</f>
        <v>204</v>
      </c>
      <c r="O197" s="28"/>
      <c r="P197" s="28"/>
      <c r="Q197" s="27" t="s">
        <v>2032</v>
      </c>
      <c r="R197" s="27"/>
      <c r="S197" s="29" t="s">
        <v>2032</v>
      </c>
      <c r="T197" s="29"/>
      <c r="U197" s="29"/>
      <c r="V197" s="29"/>
      <c r="W197" s="30" t="s">
        <v>2032</v>
      </c>
      <c r="X197" s="29" t="s">
        <v>2032</v>
      </c>
      <c r="Y197" s="29"/>
      <c r="Z197" s="29"/>
      <c r="AA197" s="29"/>
      <c r="AB197" s="27" t="s">
        <v>2057</v>
      </c>
      <c r="AC197" s="27"/>
      <c r="AD197" s="27"/>
      <c r="AE197" s="31">
        <f>204</f>
        <v>204</v>
      </c>
      <c r="AF197" s="31"/>
      <c r="AG197" s="31"/>
    </row>
    <row r="198" spans="1:33" s="1" customFormat="1" ht="18.75" customHeight="1">
      <c r="A198" s="24" t="s">
        <v>2548</v>
      </c>
      <c r="B198" s="25" t="s">
        <v>2549</v>
      </c>
      <c r="C198" s="25"/>
      <c r="D198" s="25"/>
      <c r="E198" s="26" t="s">
        <v>2550</v>
      </c>
      <c r="F198" s="26"/>
      <c r="G198" s="26"/>
      <c r="H198" s="26"/>
      <c r="I198" s="26"/>
      <c r="J198" s="27" t="s">
        <v>2056</v>
      </c>
      <c r="K198" s="27"/>
      <c r="L198" s="27"/>
      <c r="M198" s="27"/>
      <c r="N198" s="28">
        <f>210</f>
        <v>210</v>
      </c>
      <c r="O198" s="28"/>
      <c r="P198" s="28"/>
      <c r="Q198" s="27" t="s">
        <v>2032</v>
      </c>
      <c r="R198" s="27"/>
      <c r="S198" s="29" t="s">
        <v>2032</v>
      </c>
      <c r="T198" s="29"/>
      <c r="U198" s="29"/>
      <c r="V198" s="29"/>
      <c r="W198" s="30" t="s">
        <v>2032</v>
      </c>
      <c r="X198" s="29" t="s">
        <v>2032</v>
      </c>
      <c r="Y198" s="29"/>
      <c r="Z198" s="29"/>
      <c r="AA198" s="29"/>
      <c r="AB198" s="27" t="s">
        <v>2056</v>
      </c>
      <c r="AC198" s="27"/>
      <c r="AD198" s="27"/>
      <c r="AE198" s="31">
        <f>210</f>
        <v>210</v>
      </c>
      <c r="AF198" s="31"/>
      <c r="AG198" s="31"/>
    </row>
    <row r="199" spans="1:33" s="1" customFormat="1" ht="18.75" customHeight="1">
      <c r="A199" s="24" t="s">
        <v>2551</v>
      </c>
      <c r="B199" s="25" t="s">
        <v>2552</v>
      </c>
      <c r="C199" s="25"/>
      <c r="D199" s="25"/>
      <c r="E199" s="26" t="s">
        <v>2553</v>
      </c>
      <c r="F199" s="26"/>
      <c r="G199" s="26"/>
      <c r="H199" s="26"/>
      <c r="I199" s="26"/>
      <c r="J199" s="27" t="s">
        <v>2057</v>
      </c>
      <c r="K199" s="27"/>
      <c r="L199" s="27"/>
      <c r="M199" s="27"/>
      <c r="N199" s="28">
        <f>400</f>
        <v>400</v>
      </c>
      <c r="O199" s="28"/>
      <c r="P199" s="28"/>
      <c r="Q199" s="27" t="s">
        <v>2032</v>
      </c>
      <c r="R199" s="27"/>
      <c r="S199" s="29" t="s">
        <v>2032</v>
      </c>
      <c r="T199" s="29"/>
      <c r="U199" s="29"/>
      <c r="V199" s="29"/>
      <c r="W199" s="30" t="s">
        <v>2032</v>
      </c>
      <c r="X199" s="29" t="s">
        <v>2032</v>
      </c>
      <c r="Y199" s="29"/>
      <c r="Z199" s="29"/>
      <c r="AA199" s="29"/>
      <c r="AB199" s="27" t="s">
        <v>2057</v>
      </c>
      <c r="AC199" s="27"/>
      <c r="AD199" s="27"/>
      <c r="AE199" s="31">
        <f>400</f>
        <v>400</v>
      </c>
      <c r="AF199" s="31"/>
      <c r="AG199" s="31"/>
    </row>
    <row r="200" spans="1:33" s="1" customFormat="1" ht="33" customHeight="1">
      <c r="A200" s="24" t="s">
        <v>2554</v>
      </c>
      <c r="B200" s="25" t="s">
        <v>2555</v>
      </c>
      <c r="C200" s="25"/>
      <c r="D200" s="25"/>
      <c r="E200" s="26" t="s">
        <v>2556</v>
      </c>
      <c r="F200" s="26"/>
      <c r="G200" s="26"/>
      <c r="H200" s="26"/>
      <c r="I200" s="26"/>
      <c r="J200" s="27" t="s">
        <v>2056</v>
      </c>
      <c r="K200" s="27"/>
      <c r="L200" s="27"/>
      <c r="M200" s="27"/>
      <c r="N200" s="28">
        <f>190.99</f>
        <v>190.99</v>
      </c>
      <c r="O200" s="28"/>
      <c r="P200" s="28"/>
      <c r="Q200" s="27" t="s">
        <v>2032</v>
      </c>
      <c r="R200" s="27"/>
      <c r="S200" s="29" t="s">
        <v>2032</v>
      </c>
      <c r="T200" s="29"/>
      <c r="U200" s="29"/>
      <c r="V200" s="29"/>
      <c r="W200" s="30" t="s">
        <v>2032</v>
      </c>
      <c r="X200" s="29" t="s">
        <v>2032</v>
      </c>
      <c r="Y200" s="29"/>
      <c r="Z200" s="29"/>
      <c r="AA200" s="29"/>
      <c r="AB200" s="27" t="s">
        <v>2056</v>
      </c>
      <c r="AC200" s="27"/>
      <c r="AD200" s="27"/>
      <c r="AE200" s="31">
        <f>190.99</f>
        <v>190.99</v>
      </c>
      <c r="AF200" s="31"/>
      <c r="AG200" s="31"/>
    </row>
    <row r="201" spans="1:33" s="1" customFormat="1" ht="18.75" customHeight="1">
      <c r="A201" s="24" t="s">
        <v>2557</v>
      </c>
      <c r="B201" s="25" t="s">
        <v>2558</v>
      </c>
      <c r="C201" s="25"/>
      <c r="D201" s="25"/>
      <c r="E201" s="26" t="s">
        <v>2559</v>
      </c>
      <c r="F201" s="26"/>
      <c r="G201" s="26"/>
      <c r="H201" s="26"/>
      <c r="I201" s="26"/>
      <c r="J201" s="27" t="s">
        <v>2056</v>
      </c>
      <c r="K201" s="27"/>
      <c r="L201" s="27"/>
      <c r="M201" s="27"/>
      <c r="N201" s="28">
        <f>200</f>
        <v>200</v>
      </c>
      <c r="O201" s="28"/>
      <c r="P201" s="28"/>
      <c r="Q201" s="27" t="s">
        <v>2032</v>
      </c>
      <c r="R201" s="27"/>
      <c r="S201" s="29" t="s">
        <v>2032</v>
      </c>
      <c r="T201" s="29"/>
      <c r="U201" s="29"/>
      <c r="V201" s="29"/>
      <c r="W201" s="30" t="s">
        <v>2032</v>
      </c>
      <c r="X201" s="29" t="s">
        <v>2032</v>
      </c>
      <c r="Y201" s="29"/>
      <c r="Z201" s="29"/>
      <c r="AA201" s="29"/>
      <c r="AB201" s="27" t="s">
        <v>2056</v>
      </c>
      <c r="AC201" s="27"/>
      <c r="AD201" s="27"/>
      <c r="AE201" s="31">
        <f>200</f>
        <v>200</v>
      </c>
      <c r="AF201" s="31"/>
      <c r="AG201" s="31"/>
    </row>
    <row r="202" spans="1:33" s="1" customFormat="1" ht="18.75" customHeight="1">
      <c r="A202" s="24" t="s">
        <v>2560</v>
      </c>
      <c r="B202" s="25" t="s">
        <v>2561</v>
      </c>
      <c r="C202" s="25"/>
      <c r="D202" s="25"/>
      <c r="E202" s="26" t="s">
        <v>2562</v>
      </c>
      <c r="F202" s="26"/>
      <c r="G202" s="26"/>
      <c r="H202" s="26"/>
      <c r="I202" s="26"/>
      <c r="J202" s="27" t="s">
        <v>2056</v>
      </c>
      <c r="K202" s="27"/>
      <c r="L202" s="27"/>
      <c r="M202" s="27"/>
      <c r="N202" s="28">
        <f>210</f>
        <v>210</v>
      </c>
      <c r="O202" s="28"/>
      <c r="P202" s="28"/>
      <c r="Q202" s="27" t="s">
        <v>2032</v>
      </c>
      <c r="R202" s="27"/>
      <c r="S202" s="29" t="s">
        <v>2032</v>
      </c>
      <c r="T202" s="29"/>
      <c r="U202" s="29"/>
      <c r="V202" s="29"/>
      <c r="W202" s="30" t="s">
        <v>2032</v>
      </c>
      <c r="X202" s="29" t="s">
        <v>2032</v>
      </c>
      <c r="Y202" s="29"/>
      <c r="Z202" s="29"/>
      <c r="AA202" s="29"/>
      <c r="AB202" s="27" t="s">
        <v>2056</v>
      </c>
      <c r="AC202" s="27"/>
      <c r="AD202" s="27"/>
      <c r="AE202" s="31">
        <f>210</f>
        <v>210</v>
      </c>
      <c r="AF202" s="31"/>
      <c r="AG202" s="31"/>
    </row>
    <row r="203" spans="1:33" s="1" customFormat="1" ht="18.75" customHeight="1">
      <c r="A203" s="24" t="s">
        <v>2563</v>
      </c>
      <c r="B203" s="25" t="s">
        <v>2564</v>
      </c>
      <c r="C203" s="25"/>
      <c r="D203" s="25"/>
      <c r="E203" s="26" t="s">
        <v>2565</v>
      </c>
      <c r="F203" s="26"/>
      <c r="G203" s="26"/>
      <c r="H203" s="26"/>
      <c r="I203" s="26"/>
      <c r="J203" s="27" t="s">
        <v>2056</v>
      </c>
      <c r="K203" s="27"/>
      <c r="L203" s="27"/>
      <c r="M203" s="27"/>
      <c r="N203" s="28">
        <f>143</f>
        <v>143</v>
      </c>
      <c r="O203" s="28"/>
      <c r="P203" s="28"/>
      <c r="Q203" s="27" t="s">
        <v>2032</v>
      </c>
      <c r="R203" s="27"/>
      <c r="S203" s="29" t="s">
        <v>2032</v>
      </c>
      <c r="T203" s="29"/>
      <c r="U203" s="29"/>
      <c r="V203" s="29"/>
      <c r="W203" s="30" t="s">
        <v>2032</v>
      </c>
      <c r="X203" s="29" t="s">
        <v>2032</v>
      </c>
      <c r="Y203" s="29"/>
      <c r="Z203" s="29"/>
      <c r="AA203" s="29"/>
      <c r="AB203" s="27" t="s">
        <v>2056</v>
      </c>
      <c r="AC203" s="27"/>
      <c r="AD203" s="27"/>
      <c r="AE203" s="31">
        <f>143</f>
        <v>143</v>
      </c>
      <c r="AF203" s="31"/>
      <c r="AG203" s="31"/>
    </row>
    <row r="204" spans="1:33" s="1" customFormat="1" ht="33" customHeight="1">
      <c r="A204" s="24" t="s">
        <v>2566</v>
      </c>
      <c r="B204" s="25" t="s">
        <v>2567</v>
      </c>
      <c r="C204" s="25"/>
      <c r="D204" s="25"/>
      <c r="E204" s="26" t="s">
        <v>2568</v>
      </c>
      <c r="F204" s="26"/>
      <c r="G204" s="26"/>
      <c r="H204" s="26"/>
      <c r="I204" s="26"/>
      <c r="J204" s="27" t="s">
        <v>2056</v>
      </c>
      <c r="K204" s="27"/>
      <c r="L204" s="27"/>
      <c r="M204" s="27"/>
      <c r="N204" s="28">
        <f>70</f>
        <v>70</v>
      </c>
      <c r="O204" s="28"/>
      <c r="P204" s="28"/>
      <c r="Q204" s="27" t="s">
        <v>2032</v>
      </c>
      <c r="R204" s="27"/>
      <c r="S204" s="29" t="s">
        <v>2032</v>
      </c>
      <c r="T204" s="29"/>
      <c r="U204" s="29"/>
      <c r="V204" s="29"/>
      <c r="W204" s="30" t="s">
        <v>2032</v>
      </c>
      <c r="X204" s="29" t="s">
        <v>2032</v>
      </c>
      <c r="Y204" s="29"/>
      <c r="Z204" s="29"/>
      <c r="AA204" s="29"/>
      <c r="AB204" s="27" t="s">
        <v>2056</v>
      </c>
      <c r="AC204" s="27"/>
      <c r="AD204" s="27"/>
      <c r="AE204" s="31">
        <f>70</f>
        <v>70</v>
      </c>
      <c r="AF204" s="31"/>
      <c r="AG204" s="31"/>
    </row>
    <row r="205" spans="1:33" s="1" customFormat="1" ht="18.75" customHeight="1">
      <c r="A205" s="24" t="s">
        <v>2569</v>
      </c>
      <c r="B205" s="25" t="s">
        <v>2570</v>
      </c>
      <c r="C205" s="25"/>
      <c r="D205" s="25"/>
      <c r="E205" s="26" t="s">
        <v>2571</v>
      </c>
      <c r="F205" s="26"/>
      <c r="G205" s="26"/>
      <c r="H205" s="26"/>
      <c r="I205" s="26"/>
      <c r="J205" s="27" t="s">
        <v>2056</v>
      </c>
      <c r="K205" s="27"/>
      <c r="L205" s="27"/>
      <c r="M205" s="27"/>
      <c r="N205" s="28">
        <f>45.01</f>
        <v>45.01</v>
      </c>
      <c r="O205" s="28"/>
      <c r="P205" s="28"/>
      <c r="Q205" s="27" t="s">
        <v>2032</v>
      </c>
      <c r="R205" s="27"/>
      <c r="S205" s="29" t="s">
        <v>2032</v>
      </c>
      <c r="T205" s="29"/>
      <c r="U205" s="29"/>
      <c r="V205" s="29"/>
      <c r="W205" s="30" t="s">
        <v>2032</v>
      </c>
      <c r="X205" s="29" t="s">
        <v>2032</v>
      </c>
      <c r="Y205" s="29"/>
      <c r="Z205" s="29"/>
      <c r="AA205" s="29"/>
      <c r="AB205" s="27" t="s">
        <v>2056</v>
      </c>
      <c r="AC205" s="27"/>
      <c r="AD205" s="27"/>
      <c r="AE205" s="31">
        <f>45.01</f>
        <v>45.01</v>
      </c>
      <c r="AF205" s="31"/>
      <c r="AG205" s="31"/>
    </row>
    <row r="206" spans="1:33" s="1" customFormat="1" ht="18.75" customHeight="1">
      <c r="A206" s="24" t="s">
        <v>2572</v>
      </c>
      <c r="B206" s="25" t="s">
        <v>2573</v>
      </c>
      <c r="C206" s="25"/>
      <c r="D206" s="25"/>
      <c r="E206" s="26" t="s">
        <v>2574</v>
      </c>
      <c r="F206" s="26"/>
      <c r="G206" s="26"/>
      <c r="H206" s="26"/>
      <c r="I206" s="26"/>
      <c r="J206" s="27" t="s">
        <v>2056</v>
      </c>
      <c r="K206" s="27"/>
      <c r="L206" s="27"/>
      <c r="M206" s="27"/>
      <c r="N206" s="28">
        <f>62</f>
        <v>62</v>
      </c>
      <c r="O206" s="28"/>
      <c r="P206" s="28"/>
      <c r="Q206" s="27" t="s">
        <v>2032</v>
      </c>
      <c r="R206" s="27"/>
      <c r="S206" s="29" t="s">
        <v>2032</v>
      </c>
      <c r="T206" s="29"/>
      <c r="U206" s="29"/>
      <c r="V206" s="29"/>
      <c r="W206" s="30" t="s">
        <v>2032</v>
      </c>
      <c r="X206" s="29" t="s">
        <v>2032</v>
      </c>
      <c r="Y206" s="29"/>
      <c r="Z206" s="29"/>
      <c r="AA206" s="29"/>
      <c r="AB206" s="27" t="s">
        <v>2056</v>
      </c>
      <c r="AC206" s="27"/>
      <c r="AD206" s="27"/>
      <c r="AE206" s="31">
        <f>62</f>
        <v>62</v>
      </c>
      <c r="AF206" s="31"/>
      <c r="AG206" s="31"/>
    </row>
    <row r="207" spans="1:33" s="1" customFormat="1" ht="18.75" customHeight="1">
      <c r="A207" s="24" t="s">
        <v>2575</v>
      </c>
      <c r="B207" s="25" t="s">
        <v>2576</v>
      </c>
      <c r="C207" s="25"/>
      <c r="D207" s="25"/>
      <c r="E207" s="26" t="s">
        <v>2577</v>
      </c>
      <c r="F207" s="26"/>
      <c r="G207" s="26"/>
      <c r="H207" s="26"/>
      <c r="I207" s="26"/>
      <c r="J207" s="27" t="s">
        <v>2056</v>
      </c>
      <c r="K207" s="27"/>
      <c r="L207" s="27"/>
      <c r="M207" s="27"/>
      <c r="N207" s="28">
        <f>393</f>
        <v>393</v>
      </c>
      <c r="O207" s="28"/>
      <c r="P207" s="28"/>
      <c r="Q207" s="27" t="s">
        <v>2032</v>
      </c>
      <c r="R207" s="27"/>
      <c r="S207" s="29" t="s">
        <v>2032</v>
      </c>
      <c r="T207" s="29"/>
      <c r="U207" s="29"/>
      <c r="V207" s="29"/>
      <c r="W207" s="30" t="s">
        <v>2032</v>
      </c>
      <c r="X207" s="29" t="s">
        <v>2032</v>
      </c>
      <c r="Y207" s="29"/>
      <c r="Z207" s="29"/>
      <c r="AA207" s="29"/>
      <c r="AB207" s="27" t="s">
        <v>2056</v>
      </c>
      <c r="AC207" s="27"/>
      <c r="AD207" s="27"/>
      <c r="AE207" s="31">
        <f>393</f>
        <v>393</v>
      </c>
      <c r="AF207" s="31"/>
      <c r="AG207" s="31"/>
    </row>
    <row r="208" spans="1:33" s="1" customFormat="1" ht="33" customHeight="1">
      <c r="A208" s="24" t="s">
        <v>2578</v>
      </c>
      <c r="B208" s="25" t="s">
        <v>2579</v>
      </c>
      <c r="C208" s="25"/>
      <c r="D208" s="25"/>
      <c r="E208" s="26" t="s">
        <v>2580</v>
      </c>
      <c r="F208" s="26"/>
      <c r="G208" s="26"/>
      <c r="H208" s="26"/>
      <c r="I208" s="26"/>
      <c r="J208" s="27" t="s">
        <v>2056</v>
      </c>
      <c r="K208" s="27"/>
      <c r="L208" s="27"/>
      <c r="M208" s="27"/>
      <c r="N208" s="28">
        <f>404</f>
        <v>404</v>
      </c>
      <c r="O208" s="28"/>
      <c r="P208" s="28"/>
      <c r="Q208" s="27" t="s">
        <v>2032</v>
      </c>
      <c r="R208" s="27"/>
      <c r="S208" s="29" t="s">
        <v>2032</v>
      </c>
      <c r="T208" s="29"/>
      <c r="U208" s="29"/>
      <c r="V208" s="29"/>
      <c r="W208" s="30" t="s">
        <v>2032</v>
      </c>
      <c r="X208" s="29" t="s">
        <v>2032</v>
      </c>
      <c r="Y208" s="29"/>
      <c r="Z208" s="29"/>
      <c r="AA208" s="29"/>
      <c r="AB208" s="27" t="s">
        <v>2056</v>
      </c>
      <c r="AC208" s="27"/>
      <c r="AD208" s="27"/>
      <c r="AE208" s="31">
        <f>404</f>
        <v>404</v>
      </c>
      <c r="AF208" s="31"/>
      <c r="AG208" s="31"/>
    </row>
    <row r="209" spans="1:33" s="1" customFormat="1" ht="18.75" customHeight="1">
      <c r="A209" s="24" t="s">
        <v>2581</v>
      </c>
      <c r="B209" s="25" t="s">
        <v>2582</v>
      </c>
      <c r="C209" s="25"/>
      <c r="D209" s="25"/>
      <c r="E209" s="26" t="s">
        <v>2583</v>
      </c>
      <c r="F209" s="26"/>
      <c r="G209" s="26"/>
      <c r="H209" s="26"/>
      <c r="I209" s="26"/>
      <c r="J209" s="27" t="s">
        <v>2056</v>
      </c>
      <c r="K209" s="27"/>
      <c r="L209" s="27"/>
      <c r="M209" s="27"/>
      <c r="N209" s="28">
        <f>68.99</f>
        <v>68.99</v>
      </c>
      <c r="O209" s="28"/>
      <c r="P209" s="28"/>
      <c r="Q209" s="27" t="s">
        <v>2032</v>
      </c>
      <c r="R209" s="27"/>
      <c r="S209" s="29" t="s">
        <v>2032</v>
      </c>
      <c r="T209" s="29"/>
      <c r="U209" s="29"/>
      <c r="V209" s="29"/>
      <c r="W209" s="30" t="s">
        <v>2032</v>
      </c>
      <c r="X209" s="29" t="s">
        <v>2032</v>
      </c>
      <c r="Y209" s="29"/>
      <c r="Z209" s="29"/>
      <c r="AA209" s="29"/>
      <c r="AB209" s="27" t="s">
        <v>2056</v>
      </c>
      <c r="AC209" s="27"/>
      <c r="AD209" s="27"/>
      <c r="AE209" s="31">
        <f>68.99</f>
        <v>68.99</v>
      </c>
      <c r="AF209" s="31"/>
      <c r="AG209" s="31"/>
    </row>
    <row r="210" spans="1:33" s="1" customFormat="1" ht="18.75" customHeight="1">
      <c r="A210" s="24" t="s">
        <v>2584</v>
      </c>
      <c r="B210" s="25" t="s">
        <v>2585</v>
      </c>
      <c r="C210" s="25"/>
      <c r="D210" s="25"/>
      <c r="E210" s="26" t="s">
        <v>2586</v>
      </c>
      <c r="F210" s="26"/>
      <c r="G210" s="26"/>
      <c r="H210" s="26"/>
      <c r="I210" s="26"/>
      <c r="J210" s="27" t="s">
        <v>2056</v>
      </c>
      <c r="K210" s="27"/>
      <c r="L210" s="27"/>
      <c r="M210" s="27"/>
      <c r="N210" s="28">
        <f>70</f>
        <v>70</v>
      </c>
      <c r="O210" s="28"/>
      <c r="P210" s="28"/>
      <c r="Q210" s="27" t="s">
        <v>2032</v>
      </c>
      <c r="R210" s="27"/>
      <c r="S210" s="29" t="s">
        <v>2032</v>
      </c>
      <c r="T210" s="29"/>
      <c r="U210" s="29"/>
      <c r="V210" s="29"/>
      <c r="W210" s="30" t="s">
        <v>2032</v>
      </c>
      <c r="X210" s="29" t="s">
        <v>2032</v>
      </c>
      <c r="Y210" s="29"/>
      <c r="Z210" s="29"/>
      <c r="AA210" s="29"/>
      <c r="AB210" s="27" t="s">
        <v>2056</v>
      </c>
      <c r="AC210" s="27"/>
      <c r="AD210" s="27"/>
      <c r="AE210" s="31">
        <f>70</f>
        <v>70</v>
      </c>
      <c r="AF210" s="31"/>
      <c r="AG210" s="31"/>
    </row>
    <row r="211" spans="1:33" s="1" customFormat="1" ht="18.75" customHeight="1">
      <c r="A211" s="24" t="s">
        <v>2587</v>
      </c>
      <c r="B211" s="25" t="s">
        <v>2588</v>
      </c>
      <c r="C211" s="25"/>
      <c r="D211" s="25"/>
      <c r="E211" s="26" t="s">
        <v>2589</v>
      </c>
      <c r="F211" s="26"/>
      <c r="G211" s="26"/>
      <c r="H211" s="26"/>
      <c r="I211" s="26"/>
      <c r="J211" s="27" t="s">
        <v>2056</v>
      </c>
      <c r="K211" s="27"/>
      <c r="L211" s="27"/>
      <c r="M211" s="27"/>
      <c r="N211" s="28">
        <f>68.99</f>
        <v>68.99</v>
      </c>
      <c r="O211" s="28"/>
      <c r="P211" s="28"/>
      <c r="Q211" s="27" t="s">
        <v>2032</v>
      </c>
      <c r="R211" s="27"/>
      <c r="S211" s="29" t="s">
        <v>2032</v>
      </c>
      <c r="T211" s="29"/>
      <c r="U211" s="29"/>
      <c r="V211" s="29"/>
      <c r="W211" s="30" t="s">
        <v>2032</v>
      </c>
      <c r="X211" s="29" t="s">
        <v>2032</v>
      </c>
      <c r="Y211" s="29"/>
      <c r="Z211" s="29"/>
      <c r="AA211" s="29"/>
      <c r="AB211" s="27" t="s">
        <v>2056</v>
      </c>
      <c r="AC211" s="27"/>
      <c r="AD211" s="27"/>
      <c r="AE211" s="31">
        <f>68.99</f>
        <v>68.99</v>
      </c>
      <c r="AF211" s="31"/>
      <c r="AG211" s="31"/>
    </row>
    <row r="212" spans="1:33" s="1" customFormat="1" ht="18.75" customHeight="1">
      <c r="A212" s="24" t="s">
        <v>2590</v>
      </c>
      <c r="B212" s="25" t="s">
        <v>2591</v>
      </c>
      <c r="C212" s="25"/>
      <c r="D212" s="25"/>
      <c r="E212" s="26" t="s">
        <v>2592</v>
      </c>
      <c r="F212" s="26"/>
      <c r="G212" s="26"/>
      <c r="H212" s="26"/>
      <c r="I212" s="26"/>
      <c r="J212" s="27" t="s">
        <v>2056</v>
      </c>
      <c r="K212" s="27"/>
      <c r="L212" s="27"/>
      <c r="M212" s="27"/>
      <c r="N212" s="28">
        <f>148</f>
        <v>148</v>
      </c>
      <c r="O212" s="28"/>
      <c r="P212" s="28"/>
      <c r="Q212" s="27" t="s">
        <v>2032</v>
      </c>
      <c r="R212" s="27"/>
      <c r="S212" s="29" t="s">
        <v>2032</v>
      </c>
      <c r="T212" s="29"/>
      <c r="U212" s="29"/>
      <c r="V212" s="29"/>
      <c r="W212" s="30" t="s">
        <v>2032</v>
      </c>
      <c r="X212" s="29" t="s">
        <v>2032</v>
      </c>
      <c r="Y212" s="29"/>
      <c r="Z212" s="29"/>
      <c r="AA212" s="29"/>
      <c r="AB212" s="27" t="s">
        <v>2056</v>
      </c>
      <c r="AC212" s="27"/>
      <c r="AD212" s="27"/>
      <c r="AE212" s="31">
        <f>148</f>
        <v>148</v>
      </c>
      <c r="AF212" s="31"/>
      <c r="AG212" s="31"/>
    </row>
    <row r="213" spans="1:33" s="1" customFormat="1" ht="18.75" customHeight="1">
      <c r="A213" s="24" t="s">
        <v>2593</v>
      </c>
      <c r="B213" s="25" t="s">
        <v>2594</v>
      </c>
      <c r="C213" s="25"/>
      <c r="D213" s="25"/>
      <c r="E213" s="26" t="s">
        <v>2595</v>
      </c>
      <c r="F213" s="26"/>
      <c r="G213" s="26"/>
      <c r="H213" s="26"/>
      <c r="I213" s="26"/>
      <c r="J213" s="27" t="s">
        <v>2056</v>
      </c>
      <c r="K213" s="27"/>
      <c r="L213" s="27"/>
      <c r="M213" s="27"/>
      <c r="N213" s="28">
        <f>78</f>
        <v>78</v>
      </c>
      <c r="O213" s="28"/>
      <c r="P213" s="28"/>
      <c r="Q213" s="27" t="s">
        <v>2032</v>
      </c>
      <c r="R213" s="27"/>
      <c r="S213" s="29" t="s">
        <v>2032</v>
      </c>
      <c r="T213" s="29"/>
      <c r="U213" s="29"/>
      <c r="V213" s="29"/>
      <c r="W213" s="30" t="s">
        <v>2032</v>
      </c>
      <c r="X213" s="29" t="s">
        <v>2032</v>
      </c>
      <c r="Y213" s="29"/>
      <c r="Z213" s="29"/>
      <c r="AA213" s="29"/>
      <c r="AB213" s="27" t="s">
        <v>2056</v>
      </c>
      <c r="AC213" s="27"/>
      <c r="AD213" s="27"/>
      <c r="AE213" s="31">
        <f>78</f>
        <v>78</v>
      </c>
      <c r="AF213" s="31"/>
      <c r="AG213" s="31"/>
    </row>
    <row r="214" spans="1:33" s="1" customFormat="1" ht="18.75" customHeight="1">
      <c r="A214" s="24" t="s">
        <v>2596</v>
      </c>
      <c r="B214" s="25" t="s">
        <v>2597</v>
      </c>
      <c r="C214" s="25"/>
      <c r="D214" s="25"/>
      <c r="E214" s="26" t="s">
        <v>2598</v>
      </c>
      <c r="F214" s="26"/>
      <c r="G214" s="26"/>
      <c r="H214" s="26"/>
      <c r="I214" s="26"/>
      <c r="J214" s="27" t="s">
        <v>2056</v>
      </c>
      <c r="K214" s="27"/>
      <c r="L214" s="27"/>
      <c r="M214" s="27"/>
      <c r="N214" s="28">
        <f>83</f>
        <v>83</v>
      </c>
      <c r="O214" s="28"/>
      <c r="P214" s="28"/>
      <c r="Q214" s="27" t="s">
        <v>2032</v>
      </c>
      <c r="R214" s="27"/>
      <c r="S214" s="29" t="s">
        <v>2032</v>
      </c>
      <c r="T214" s="29"/>
      <c r="U214" s="29"/>
      <c r="V214" s="29"/>
      <c r="W214" s="30" t="s">
        <v>2032</v>
      </c>
      <c r="X214" s="29" t="s">
        <v>2032</v>
      </c>
      <c r="Y214" s="29"/>
      <c r="Z214" s="29"/>
      <c r="AA214" s="29"/>
      <c r="AB214" s="27" t="s">
        <v>2056</v>
      </c>
      <c r="AC214" s="27"/>
      <c r="AD214" s="27"/>
      <c r="AE214" s="31">
        <f>83</f>
        <v>83</v>
      </c>
      <c r="AF214" s="31"/>
      <c r="AG214" s="31"/>
    </row>
    <row r="215" spans="1:33" s="1" customFormat="1" ht="18.75" customHeight="1">
      <c r="A215" s="24" t="s">
        <v>2599</v>
      </c>
      <c r="B215" s="25" t="s">
        <v>2600</v>
      </c>
      <c r="C215" s="25"/>
      <c r="D215" s="25"/>
      <c r="E215" s="26" t="s">
        <v>2601</v>
      </c>
      <c r="F215" s="26"/>
      <c r="G215" s="26"/>
      <c r="H215" s="26"/>
      <c r="I215" s="26"/>
      <c r="J215" s="27" t="s">
        <v>2056</v>
      </c>
      <c r="K215" s="27"/>
      <c r="L215" s="27"/>
      <c r="M215" s="27"/>
      <c r="N215" s="28">
        <f>83</f>
        <v>83</v>
      </c>
      <c r="O215" s="28"/>
      <c r="P215" s="28"/>
      <c r="Q215" s="27" t="s">
        <v>2032</v>
      </c>
      <c r="R215" s="27"/>
      <c r="S215" s="29" t="s">
        <v>2032</v>
      </c>
      <c r="T215" s="29"/>
      <c r="U215" s="29"/>
      <c r="V215" s="29"/>
      <c r="W215" s="30" t="s">
        <v>2032</v>
      </c>
      <c r="X215" s="29" t="s">
        <v>2032</v>
      </c>
      <c r="Y215" s="29"/>
      <c r="Z215" s="29"/>
      <c r="AA215" s="29"/>
      <c r="AB215" s="27" t="s">
        <v>2056</v>
      </c>
      <c r="AC215" s="27"/>
      <c r="AD215" s="27"/>
      <c r="AE215" s="31">
        <f>83</f>
        <v>83</v>
      </c>
      <c r="AF215" s="31"/>
      <c r="AG215" s="31"/>
    </row>
    <row r="216" spans="1:33" s="1" customFormat="1" ht="18.75" customHeight="1">
      <c r="A216" s="24" t="s">
        <v>2602</v>
      </c>
      <c r="B216" s="25" t="s">
        <v>2603</v>
      </c>
      <c r="C216" s="25"/>
      <c r="D216" s="25"/>
      <c r="E216" s="26" t="s">
        <v>2604</v>
      </c>
      <c r="F216" s="26"/>
      <c r="G216" s="26"/>
      <c r="H216" s="26"/>
      <c r="I216" s="26"/>
      <c r="J216" s="27" t="s">
        <v>2056</v>
      </c>
      <c r="K216" s="27"/>
      <c r="L216" s="27"/>
      <c r="M216" s="27"/>
      <c r="N216" s="28">
        <f>636</f>
        <v>636</v>
      </c>
      <c r="O216" s="28"/>
      <c r="P216" s="28"/>
      <c r="Q216" s="27" t="s">
        <v>2032</v>
      </c>
      <c r="R216" s="27"/>
      <c r="S216" s="29" t="s">
        <v>2032</v>
      </c>
      <c r="T216" s="29"/>
      <c r="U216" s="29"/>
      <c r="V216" s="29"/>
      <c r="W216" s="30" t="s">
        <v>2032</v>
      </c>
      <c r="X216" s="29" t="s">
        <v>2032</v>
      </c>
      <c r="Y216" s="29"/>
      <c r="Z216" s="29"/>
      <c r="AA216" s="29"/>
      <c r="AB216" s="27" t="s">
        <v>2056</v>
      </c>
      <c r="AC216" s="27"/>
      <c r="AD216" s="27"/>
      <c r="AE216" s="31">
        <f>636</f>
        <v>636</v>
      </c>
      <c r="AF216" s="31"/>
      <c r="AG216" s="31"/>
    </row>
    <row r="217" spans="1:33" s="1" customFormat="1" ht="18.75" customHeight="1">
      <c r="A217" s="24" t="s">
        <v>2605</v>
      </c>
      <c r="B217" s="25" t="s">
        <v>2606</v>
      </c>
      <c r="C217" s="25"/>
      <c r="D217" s="25"/>
      <c r="E217" s="26" t="s">
        <v>2607</v>
      </c>
      <c r="F217" s="26"/>
      <c r="G217" s="26"/>
      <c r="H217" s="26"/>
      <c r="I217" s="26"/>
      <c r="J217" s="27" t="s">
        <v>2056</v>
      </c>
      <c r="K217" s="27"/>
      <c r="L217" s="27"/>
      <c r="M217" s="27"/>
      <c r="N217" s="28">
        <f>886</f>
        <v>886</v>
      </c>
      <c r="O217" s="28"/>
      <c r="P217" s="28"/>
      <c r="Q217" s="27" t="s">
        <v>2032</v>
      </c>
      <c r="R217" s="27"/>
      <c r="S217" s="29" t="s">
        <v>2032</v>
      </c>
      <c r="T217" s="29"/>
      <c r="U217" s="29"/>
      <c r="V217" s="29"/>
      <c r="W217" s="30" t="s">
        <v>2032</v>
      </c>
      <c r="X217" s="29" t="s">
        <v>2032</v>
      </c>
      <c r="Y217" s="29"/>
      <c r="Z217" s="29"/>
      <c r="AA217" s="29"/>
      <c r="AB217" s="27" t="s">
        <v>2056</v>
      </c>
      <c r="AC217" s="27"/>
      <c r="AD217" s="27"/>
      <c r="AE217" s="31">
        <f>886</f>
        <v>886</v>
      </c>
      <c r="AF217" s="31"/>
      <c r="AG217" s="31"/>
    </row>
    <row r="218" spans="1:33" s="1" customFormat="1" ht="18.75" customHeight="1">
      <c r="A218" s="24" t="s">
        <v>2608</v>
      </c>
      <c r="B218" s="25" t="s">
        <v>2609</v>
      </c>
      <c r="C218" s="25"/>
      <c r="D218" s="25"/>
      <c r="E218" s="26" t="s">
        <v>2610</v>
      </c>
      <c r="F218" s="26"/>
      <c r="G218" s="26"/>
      <c r="H218" s="26"/>
      <c r="I218" s="26"/>
      <c r="J218" s="27" t="s">
        <v>2056</v>
      </c>
      <c r="K218" s="27"/>
      <c r="L218" s="27"/>
      <c r="M218" s="27"/>
      <c r="N218" s="28">
        <f>642</f>
        <v>642</v>
      </c>
      <c r="O218" s="28"/>
      <c r="P218" s="28"/>
      <c r="Q218" s="27" t="s">
        <v>2032</v>
      </c>
      <c r="R218" s="27"/>
      <c r="S218" s="29" t="s">
        <v>2032</v>
      </c>
      <c r="T218" s="29"/>
      <c r="U218" s="29"/>
      <c r="V218" s="29"/>
      <c r="W218" s="30" t="s">
        <v>2032</v>
      </c>
      <c r="X218" s="29" t="s">
        <v>2032</v>
      </c>
      <c r="Y218" s="29"/>
      <c r="Z218" s="29"/>
      <c r="AA218" s="29"/>
      <c r="AB218" s="27" t="s">
        <v>2056</v>
      </c>
      <c r="AC218" s="27"/>
      <c r="AD218" s="27"/>
      <c r="AE218" s="31">
        <f>642</f>
        <v>642</v>
      </c>
      <c r="AF218" s="31"/>
      <c r="AG218" s="31"/>
    </row>
    <row r="219" spans="1:33" s="1" customFormat="1" ht="18.75" customHeight="1">
      <c r="A219" s="24" t="s">
        <v>2611</v>
      </c>
      <c r="B219" s="25" t="s">
        <v>2612</v>
      </c>
      <c r="C219" s="25"/>
      <c r="D219" s="25"/>
      <c r="E219" s="26" t="s">
        <v>2613</v>
      </c>
      <c r="F219" s="26"/>
      <c r="G219" s="26"/>
      <c r="H219" s="26"/>
      <c r="I219" s="26"/>
      <c r="J219" s="27" t="s">
        <v>2056</v>
      </c>
      <c r="K219" s="27"/>
      <c r="L219" s="27"/>
      <c r="M219" s="27"/>
      <c r="N219" s="28">
        <f>961</f>
        <v>961</v>
      </c>
      <c r="O219" s="28"/>
      <c r="P219" s="28"/>
      <c r="Q219" s="27" t="s">
        <v>2032</v>
      </c>
      <c r="R219" s="27"/>
      <c r="S219" s="29" t="s">
        <v>2032</v>
      </c>
      <c r="T219" s="29"/>
      <c r="U219" s="29"/>
      <c r="V219" s="29"/>
      <c r="W219" s="30" t="s">
        <v>2032</v>
      </c>
      <c r="X219" s="29" t="s">
        <v>2032</v>
      </c>
      <c r="Y219" s="29"/>
      <c r="Z219" s="29"/>
      <c r="AA219" s="29"/>
      <c r="AB219" s="27" t="s">
        <v>2056</v>
      </c>
      <c r="AC219" s="27"/>
      <c r="AD219" s="27"/>
      <c r="AE219" s="31">
        <f>961</f>
        <v>961</v>
      </c>
      <c r="AF219" s="31"/>
      <c r="AG219" s="31"/>
    </row>
    <row r="220" spans="1:33" s="1" customFormat="1" ht="18.75" customHeight="1">
      <c r="A220" s="24" t="s">
        <v>2614</v>
      </c>
      <c r="B220" s="25" t="s">
        <v>2615</v>
      </c>
      <c r="C220" s="25"/>
      <c r="D220" s="25"/>
      <c r="E220" s="26" t="s">
        <v>2616</v>
      </c>
      <c r="F220" s="26"/>
      <c r="G220" s="26"/>
      <c r="H220" s="26"/>
      <c r="I220" s="26"/>
      <c r="J220" s="27" t="s">
        <v>2056</v>
      </c>
      <c r="K220" s="27"/>
      <c r="L220" s="27"/>
      <c r="M220" s="27"/>
      <c r="N220" s="28">
        <f>900</f>
        <v>900</v>
      </c>
      <c r="O220" s="28"/>
      <c r="P220" s="28"/>
      <c r="Q220" s="27" t="s">
        <v>2032</v>
      </c>
      <c r="R220" s="27"/>
      <c r="S220" s="29" t="s">
        <v>2032</v>
      </c>
      <c r="T220" s="29"/>
      <c r="U220" s="29"/>
      <c r="V220" s="29"/>
      <c r="W220" s="30" t="s">
        <v>2032</v>
      </c>
      <c r="X220" s="29" t="s">
        <v>2032</v>
      </c>
      <c r="Y220" s="29"/>
      <c r="Z220" s="29"/>
      <c r="AA220" s="29"/>
      <c r="AB220" s="27" t="s">
        <v>2056</v>
      </c>
      <c r="AC220" s="27"/>
      <c r="AD220" s="27"/>
      <c r="AE220" s="31">
        <f>900</f>
        <v>900</v>
      </c>
      <c r="AF220" s="31"/>
      <c r="AG220" s="31"/>
    </row>
    <row r="221" spans="1:33" s="1" customFormat="1" ht="18.75" customHeight="1">
      <c r="A221" s="24" t="s">
        <v>2617</v>
      </c>
      <c r="B221" s="25" t="s">
        <v>2618</v>
      </c>
      <c r="C221" s="25"/>
      <c r="D221" s="25"/>
      <c r="E221" s="26" t="s">
        <v>2619</v>
      </c>
      <c r="F221" s="26"/>
      <c r="G221" s="26"/>
      <c r="H221" s="26"/>
      <c r="I221" s="26"/>
      <c r="J221" s="27" t="s">
        <v>2056</v>
      </c>
      <c r="K221" s="27"/>
      <c r="L221" s="27"/>
      <c r="M221" s="27"/>
      <c r="N221" s="28">
        <f>1990</f>
        <v>1990</v>
      </c>
      <c r="O221" s="28"/>
      <c r="P221" s="28"/>
      <c r="Q221" s="27" t="s">
        <v>2032</v>
      </c>
      <c r="R221" s="27"/>
      <c r="S221" s="29" t="s">
        <v>2032</v>
      </c>
      <c r="T221" s="29"/>
      <c r="U221" s="29"/>
      <c r="V221" s="29"/>
      <c r="W221" s="30" t="s">
        <v>2032</v>
      </c>
      <c r="X221" s="29" t="s">
        <v>2032</v>
      </c>
      <c r="Y221" s="29"/>
      <c r="Z221" s="29"/>
      <c r="AA221" s="29"/>
      <c r="AB221" s="27" t="s">
        <v>2056</v>
      </c>
      <c r="AC221" s="27"/>
      <c r="AD221" s="27"/>
      <c r="AE221" s="31">
        <f>1990</f>
        <v>1990</v>
      </c>
      <c r="AF221" s="31"/>
      <c r="AG221" s="31"/>
    </row>
    <row r="222" spans="1:33" s="1" customFormat="1" ht="46.5" customHeight="1">
      <c r="A222" s="24" t="s">
        <v>2620</v>
      </c>
      <c r="B222" s="25" t="s">
        <v>2621</v>
      </c>
      <c r="C222" s="25"/>
      <c r="D222" s="25"/>
      <c r="E222" s="26" t="s">
        <v>2622</v>
      </c>
      <c r="F222" s="26"/>
      <c r="G222" s="26"/>
      <c r="H222" s="26"/>
      <c r="I222" s="26"/>
      <c r="J222" s="27" t="s">
        <v>2056</v>
      </c>
      <c r="K222" s="27"/>
      <c r="L222" s="27"/>
      <c r="M222" s="27"/>
      <c r="N222" s="28">
        <f>3600</f>
        <v>3600</v>
      </c>
      <c r="O222" s="28"/>
      <c r="P222" s="28"/>
      <c r="Q222" s="27" t="s">
        <v>2032</v>
      </c>
      <c r="R222" s="27"/>
      <c r="S222" s="29" t="s">
        <v>2032</v>
      </c>
      <c r="T222" s="29"/>
      <c r="U222" s="29"/>
      <c r="V222" s="29"/>
      <c r="W222" s="30" t="s">
        <v>2032</v>
      </c>
      <c r="X222" s="29" t="s">
        <v>2032</v>
      </c>
      <c r="Y222" s="29"/>
      <c r="Z222" s="29"/>
      <c r="AA222" s="29"/>
      <c r="AB222" s="27" t="s">
        <v>2056</v>
      </c>
      <c r="AC222" s="27"/>
      <c r="AD222" s="27"/>
      <c r="AE222" s="31">
        <f>3600</f>
        <v>3600</v>
      </c>
      <c r="AF222" s="31"/>
      <c r="AG222" s="31"/>
    </row>
    <row r="223" spans="1:33" s="1" customFormat="1" ht="33" customHeight="1">
      <c r="A223" s="24" t="s">
        <v>2623</v>
      </c>
      <c r="B223" s="25" t="s">
        <v>2624</v>
      </c>
      <c r="C223" s="25"/>
      <c r="D223" s="25"/>
      <c r="E223" s="26" t="s">
        <v>2625</v>
      </c>
      <c r="F223" s="26"/>
      <c r="G223" s="26"/>
      <c r="H223" s="26"/>
      <c r="I223" s="26"/>
      <c r="J223" s="27" t="s">
        <v>2056</v>
      </c>
      <c r="K223" s="27"/>
      <c r="L223" s="27"/>
      <c r="M223" s="27"/>
      <c r="N223" s="28">
        <f>2250</f>
        <v>2250</v>
      </c>
      <c r="O223" s="28"/>
      <c r="P223" s="28"/>
      <c r="Q223" s="27" t="s">
        <v>2032</v>
      </c>
      <c r="R223" s="27"/>
      <c r="S223" s="29" t="s">
        <v>2032</v>
      </c>
      <c r="T223" s="29"/>
      <c r="U223" s="29"/>
      <c r="V223" s="29"/>
      <c r="W223" s="30" t="s">
        <v>2032</v>
      </c>
      <c r="X223" s="29" t="s">
        <v>2032</v>
      </c>
      <c r="Y223" s="29"/>
      <c r="Z223" s="29"/>
      <c r="AA223" s="29"/>
      <c r="AB223" s="27" t="s">
        <v>2056</v>
      </c>
      <c r="AC223" s="27"/>
      <c r="AD223" s="27"/>
      <c r="AE223" s="31">
        <f>2250</f>
        <v>2250</v>
      </c>
      <c r="AF223" s="31"/>
      <c r="AG223" s="31"/>
    </row>
    <row r="224" spans="1:33" s="1" customFormat="1" ht="33" customHeight="1">
      <c r="A224" s="24" t="s">
        <v>2626</v>
      </c>
      <c r="B224" s="25" t="s">
        <v>2627</v>
      </c>
      <c r="C224" s="25"/>
      <c r="D224" s="25"/>
      <c r="E224" s="26" t="s">
        <v>2628</v>
      </c>
      <c r="F224" s="26"/>
      <c r="G224" s="26"/>
      <c r="H224" s="26"/>
      <c r="I224" s="26"/>
      <c r="J224" s="27" t="s">
        <v>2060</v>
      </c>
      <c r="K224" s="27"/>
      <c r="L224" s="27"/>
      <c r="M224" s="27"/>
      <c r="N224" s="28">
        <f>8450</f>
        <v>8450</v>
      </c>
      <c r="O224" s="28"/>
      <c r="P224" s="28"/>
      <c r="Q224" s="27" t="s">
        <v>2032</v>
      </c>
      <c r="R224" s="27"/>
      <c r="S224" s="29" t="s">
        <v>2032</v>
      </c>
      <c r="T224" s="29"/>
      <c r="U224" s="29"/>
      <c r="V224" s="29"/>
      <c r="W224" s="30" t="s">
        <v>2032</v>
      </c>
      <c r="X224" s="29" t="s">
        <v>2032</v>
      </c>
      <c r="Y224" s="29"/>
      <c r="Z224" s="29"/>
      <c r="AA224" s="29"/>
      <c r="AB224" s="27" t="s">
        <v>2060</v>
      </c>
      <c r="AC224" s="27"/>
      <c r="AD224" s="27"/>
      <c r="AE224" s="31">
        <f>8450</f>
        <v>8450</v>
      </c>
      <c r="AF224" s="31"/>
      <c r="AG224" s="31"/>
    </row>
    <row r="225" spans="1:33" s="1" customFormat="1" ht="46.5" customHeight="1">
      <c r="A225" s="24" t="s">
        <v>2629</v>
      </c>
      <c r="B225" s="25" t="s">
        <v>2630</v>
      </c>
      <c r="C225" s="25"/>
      <c r="D225" s="25"/>
      <c r="E225" s="26" t="s">
        <v>2631</v>
      </c>
      <c r="F225" s="26"/>
      <c r="G225" s="26"/>
      <c r="H225" s="26"/>
      <c r="I225" s="26"/>
      <c r="J225" s="27" t="s">
        <v>2056</v>
      </c>
      <c r="K225" s="27"/>
      <c r="L225" s="27"/>
      <c r="M225" s="27"/>
      <c r="N225" s="28">
        <f>1732.2</f>
        <v>1732.2</v>
      </c>
      <c r="O225" s="28"/>
      <c r="P225" s="28"/>
      <c r="Q225" s="27" t="s">
        <v>2032</v>
      </c>
      <c r="R225" s="27"/>
      <c r="S225" s="29" t="s">
        <v>2032</v>
      </c>
      <c r="T225" s="29"/>
      <c r="U225" s="29"/>
      <c r="V225" s="29"/>
      <c r="W225" s="30" t="s">
        <v>2032</v>
      </c>
      <c r="X225" s="29" t="s">
        <v>2032</v>
      </c>
      <c r="Y225" s="29"/>
      <c r="Z225" s="29"/>
      <c r="AA225" s="29"/>
      <c r="AB225" s="27" t="s">
        <v>2056</v>
      </c>
      <c r="AC225" s="27"/>
      <c r="AD225" s="27"/>
      <c r="AE225" s="31">
        <f>1732.2</f>
        <v>1732.2</v>
      </c>
      <c r="AF225" s="31"/>
      <c r="AG225" s="31"/>
    </row>
    <row r="226" spans="1:33" s="1" customFormat="1" ht="18.75" customHeight="1">
      <c r="A226" s="24" t="s">
        <v>2632</v>
      </c>
      <c r="B226" s="25" t="s">
        <v>2633</v>
      </c>
      <c r="C226" s="25"/>
      <c r="D226" s="25"/>
      <c r="E226" s="26" t="s">
        <v>2634</v>
      </c>
      <c r="F226" s="26"/>
      <c r="G226" s="26"/>
      <c r="H226" s="26"/>
      <c r="I226" s="26"/>
      <c r="J226" s="27" t="s">
        <v>2058</v>
      </c>
      <c r="K226" s="27"/>
      <c r="L226" s="27"/>
      <c r="M226" s="27"/>
      <c r="N226" s="28">
        <f>729</f>
        <v>729</v>
      </c>
      <c r="O226" s="28"/>
      <c r="P226" s="28"/>
      <c r="Q226" s="27" t="s">
        <v>2032</v>
      </c>
      <c r="R226" s="27"/>
      <c r="S226" s="29" t="s">
        <v>2032</v>
      </c>
      <c r="T226" s="29"/>
      <c r="U226" s="29"/>
      <c r="V226" s="29"/>
      <c r="W226" s="30" t="s">
        <v>2032</v>
      </c>
      <c r="X226" s="29" t="s">
        <v>2032</v>
      </c>
      <c r="Y226" s="29"/>
      <c r="Z226" s="29"/>
      <c r="AA226" s="29"/>
      <c r="AB226" s="27" t="s">
        <v>2058</v>
      </c>
      <c r="AC226" s="27"/>
      <c r="AD226" s="27"/>
      <c r="AE226" s="31">
        <f>729</f>
        <v>729</v>
      </c>
      <c r="AF226" s="31"/>
      <c r="AG226" s="31"/>
    </row>
    <row r="227" spans="1:33" s="1" customFormat="1" ht="46.5" customHeight="1">
      <c r="A227" s="24" t="s">
        <v>2635</v>
      </c>
      <c r="B227" s="25" t="s">
        <v>2636</v>
      </c>
      <c r="C227" s="25"/>
      <c r="D227" s="25"/>
      <c r="E227" s="26" t="s">
        <v>2637</v>
      </c>
      <c r="F227" s="26"/>
      <c r="G227" s="26"/>
      <c r="H227" s="26"/>
      <c r="I227" s="26"/>
      <c r="J227" s="27" t="s">
        <v>2056</v>
      </c>
      <c r="K227" s="27"/>
      <c r="L227" s="27"/>
      <c r="M227" s="27"/>
      <c r="N227" s="28">
        <f>3600</f>
        <v>3600</v>
      </c>
      <c r="O227" s="28"/>
      <c r="P227" s="28"/>
      <c r="Q227" s="27" t="s">
        <v>2032</v>
      </c>
      <c r="R227" s="27"/>
      <c r="S227" s="29" t="s">
        <v>2032</v>
      </c>
      <c r="T227" s="29"/>
      <c r="U227" s="29"/>
      <c r="V227" s="29"/>
      <c r="W227" s="30" t="s">
        <v>2032</v>
      </c>
      <c r="X227" s="29" t="s">
        <v>2032</v>
      </c>
      <c r="Y227" s="29"/>
      <c r="Z227" s="29"/>
      <c r="AA227" s="29"/>
      <c r="AB227" s="27" t="s">
        <v>2056</v>
      </c>
      <c r="AC227" s="27"/>
      <c r="AD227" s="27"/>
      <c r="AE227" s="31">
        <f>3600</f>
        <v>3600</v>
      </c>
      <c r="AF227" s="31"/>
      <c r="AG227" s="31"/>
    </row>
    <row r="228" spans="1:33" s="1" customFormat="1" ht="46.5" customHeight="1">
      <c r="A228" s="24" t="s">
        <v>2638</v>
      </c>
      <c r="B228" s="25" t="s">
        <v>2639</v>
      </c>
      <c r="C228" s="25"/>
      <c r="D228" s="25"/>
      <c r="E228" s="26" t="s">
        <v>2640</v>
      </c>
      <c r="F228" s="26"/>
      <c r="G228" s="26"/>
      <c r="H228" s="26"/>
      <c r="I228" s="26"/>
      <c r="J228" s="27" t="s">
        <v>2056</v>
      </c>
      <c r="K228" s="27"/>
      <c r="L228" s="27"/>
      <c r="M228" s="27"/>
      <c r="N228" s="28">
        <f>3600</f>
        <v>3600</v>
      </c>
      <c r="O228" s="28"/>
      <c r="P228" s="28"/>
      <c r="Q228" s="27" t="s">
        <v>2032</v>
      </c>
      <c r="R228" s="27"/>
      <c r="S228" s="29" t="s">
        <v>2032</v>
      </c>
      <c r="T228" s="29"/>
      <c r="U228" s="29"/>
      <c r="V228" s="29"/>
      <c r="W228" s="30" t="s">
        <v>2032</v>
      </c>
      <c r="X228" s="29" t="s">
        <v>2032</v>
      </c>
      <c r="Y228" s="29"/>
      <c r="Z228" s="29"/>
      <c r="AA228" s="29"/>
      <c r="AB228" s="27" t="s">
        <v>2056</v>
      </c>
      <c r="AC228" s="27"/>
      <c r="AD228" s="27"/>
      <c r="AE228" s="31">
        <f>3600</f>
        <v>3600</v>
      </c>
      <c r="AF228" s="31"/>
      <c r="AG228" s="31"/>
    </row>
    <row r="229" spans="1:33" s="1" customFormat="1" ht="18.75" customHeight="1">
      <c r="A229" s="24" t="s">
        <v>2641</v>
      </c>
      <c r="B229" s="25" t="s">
        <v>2642</v>
      </c>
      <c r="C229" s="25"/>
      <c r="D229" s="25"/>
      <c r="E229" s="26" t="s">
        <v>2643</v>
      </c>
      <c r="F229" s="26"/>
      <c r="G229" s="26"/>
      <c r="H229" s="26"/>
      <c r="I229" s="26"/>
      <c r="J229" s="27" t="s">
        <v>2056</v>
      </c>
      <c r="K229" s="27"/>
      <c r="L229" s="27"/>
      <c r="M229" s="27"/>
      <c r="N229" s="28">
        <f>111</f>
        <v>111</v>
      </c>
      <c r="O229" s="28"/>
      <c r="P229" s="28"/>
      <c r="Q229" s="27" t="s">
        <v>2032</v>
      </c>
      <c r="R229" s="27"/>
      <c r="S229" s="29" t="s">
        <v>2032</v>
      </c>
      <c r="T229" s="29"/>
      <c r="U229" s="29"/>
      <c r="V229" s="29"/>
      <c r="W229" s="30" t="s">
        <v>2032</v>
      </c>
      <c r="X229" s="29" t="s">
        <v>2032</v>
      </c>
      <c r="Y229" s="29"/>
      <c r="Z229" s="29"/>
      <c r="AA229" s="29"/>
      <c r="AB229" s="27" t="s">
        <v>2056</v>
      </c>
      <c r="AC229" s="27"/>
      <c r="AD229" s="27"/>
      <c r="AE229" s="31">
        <f>111</f>
        <v>111</v>
      </c>
      <c r="AF229" s="31"/>
      <c r="AG229" s="31"/>
    </row>
    <row r="230" spans="1:33" s="1" customFormat="1" ht="18.75" customHeight="1">
      <c r="A230" s="24" t="s">
        <v>2644</v>
      </c>
      <c r="B230" s="25" t="s">
        <v>2645</v>
      </c>
      <c r="C230" s="25"/>
      <c r="D230" s="25"/>
      <c r="E230" s="26" t="s">
        <v>2646</v>
      </c>
      <c r="F230" s="26"/>
      <c r="G230" s="26"/>
      <c r="H230" s="26"/>
      <c r="I230" s="26"/>
      <c r="J230" s="27" t="s">
        <v>2056</v>
      </c>
      <c r="K230" s="27"/>
      <c r="L230" s="27"/>
      <c r="M230" s="27"/>
      <c r="N230" s="28">
        <f>100.01</f>
        <v>100.01</v>
      </c>
      <c r="O230" s="28"/>
      <c r="P230" s="28"/>
      <c r="Q230" s="27" t="s">
        <v>2032</v>
      </c>
      <c r="R230" s="27"/>
      <c r="S230" s="29" t="s">
        <v>2032</v>
      </c>
      <c r="T230" s="29"/>
      <c r="U230" s="29"/>
      <c r="V230" s="29"/>
      <c r="W230" s="30" t="s">
        <v>2032</v>
      </c>
      <c r="X230" s="29" t="s">
        <v>2032</v>
      </c>
      <c r="Y230" s="29"/>
      <c r="Z230" s="29"/>
      <c r="AA230" s="29"/>
      <c r="AB230" s="27" t="s">
        <v>2056</v>
      </c>
      <c r="AC230" s="27"/>
      <c r="AD230" s="27"/>
      <c r="AE230" s="31">
        <f>100.01</f>
        <v>100.01</v>
      </c>
      <c r="AF230" s="31"/>
      <c r="AG230" s="31"/>
    </row>
    <row r="231" spans="1:33" s="1" customFormat="1" ht="18.75" customHeight="1">
      <c r="A231" s="24" t="s">
        <v>2647</v>
      </c>
      <c r="B231" s="25" t="s">
        <v>2648</v>
      </c>
      <c r="C231" s="25"/>
      <c r="D231" s="25"/>
      <c r="E231" s="26" t="s">
        <v>2649</v>
      </c>
      <c r="F231" s="26"/>
      <c r="G231" s="26"/>
      <c r="H231" s="26"/>
      <c r="I231" s="26"/>
      <c r="J231" s="27" t="s">
        <v>2056</v>
      </c>
      <c r="K231" s="27"/>
      <c r="L231" s="27"/>
      <c r="M231" s="27"/>
      <c r="N231" s="28">
        <f aca="true" t="shared" si="8" ref="N231:N236">111</f>
        <v>111</v>
      </c>
      <c r="O231" s="28"/>
      <c r="P231" s="28"/>
      <c r="Q231" s="27" t="s">
        <v>2032</v>
      </c>
      <c r="R231" s="27"/>
      <c r="S231" s="29" t="s">
        <v>2032</v>
      </c>
      <c r="T231" s="29"/>
      <c r="U231" s="29"/>
      <c r="V231" s="29"/>
      <c r="W231" s="30" t="s">
        <v>2032</v>
      </c>
      <c r="X231" s="29" t="s">
        <v>2032</v>
      </c>
      <c r="Y231" s="29"/>
      <c r="Z231" s="29"/>
      <c r="AA231" s="29"/>
      <c r="AB231" s="27" t="s">
        <v>2056</v>
      </c>
      <c r="AC231" s="27"/>
      <c r="AD231" s="27"/>
      <c r="AE231" s="31">
        <f aca="true" t="shared" si="9" ref="AE231:AE236">111</f>
        <v>111</v>
      </c>
      <c r="AF231" s="31"/>
      <c r="AG231" s="31"/>
    </row>
    <row r="232" spans="1:33" s="1" customFormat="1" ht="33" customHeight="1">
      <c r="A232" s="24" t="s">
        <v>2650</v>
      </c>
      <c r="B232" s="25" t="s">
        <v>2651</v>
      </c>
      <c r="C232" s="25"/>
      <c r="D232" s="25"/>
      <c r="E232" s="26" t="s">
        <v>2652</v>
      </c>
      <c r="F232" s="26"/>
      <c r="G232" s="26"/>
      <c r="H232" s="26"/>
      <c r="I232" s="26"/>
      <c r="J232" s="27" t="s">
        <v>2056</v>
      </c>
      <c r="K232" s="27"/>
      <c r="L232" s="27"/>
      <c r="M232" s="27"/>
      <c r="N232" s="28">
        <f t="shared" si="8"/>
        <v>111</v>
      </c>
      <c r="O232" s="28"/>
      <c r="P232" s="28"/>
      <c r="Q232" s="27" t="s">
        <v>2032</v>
      </c>
      <c r="R232" s="27"/>
      <c r="S232" s="29" t="s">
        <v>2032</v>
      </c>
      <c r="T232" s="29"/>
      <c r="U232" s="29"/>
      <c r="V232" s="29"/>
      <c r="W232" s="30" t="s">
        <v>2032</v>
      </c>
      <c r="X232" s="29" t="s">
        <v>2032</v>
      </c>
      <c r="Y232" s="29"/>
      <c r="Z232" s="29"/>
      <c r="AA232" s="29"/>
      <c r="AB232" s="27" t="s">
        <v>2056</v>
      </c>
      <c r="AC232" s="27"/>
      <c r="AD232" s="27"/>
      <c r="AE232" s="31">
        <f t="shared" si="9"/>
        <v>111</v>
      </c>
      <c r="AF232" s="31"/>
      <c r="AG232" s="31"/>
    </row>
    <row r="233" spans="1:33" s="1" customFormat="1" ht="33" customHeight="1">
      <c r="A233" s="24" t="s">
        <v>2653</v>
      </c>
      <c r="B233" s="25" t="s">
        <v>2654</v>
      </c>
      <c r="C233" s="25"/>
      <c r="D233" s="25"/>
      <c r="E233" s="26" t="s">
        <v>2655</v>
      </c>
      <c r="F233" s="26"/>
      <c r="G233" s="26"/>
      <c r="H233" s="26"/>
      <c r="I233" s="26"/>
      <c r="J233" s="27" t="s">
        <v>2056</v>
      </c>
      <c r="K233" s="27"/>
      <c r="L233" s="27"/>
      <c r="M233" s="27"/>
      <c r="N233" s="28">
        <f t="shared" si="8"/>
        <v>111</v>
      </c>
      <c r="O233" s="28"/>
      <c r="P233" s="28"/>
      <c r="Q233" s="27" t="s">
        <v>2032</v>
      </c>
      <c r="R233" s="27"/>
      <c r="S233" s="29" t="s">
        <v>2032</v>
      </c>
      <c r="T233" s="29"/>
      <c r="U233" s="29"/>
      <c r="V233" s="29"/>
      <c r="W233" s="30" t="s">
        <v>2032</v>
      </c>
      <c r="X233" s="29" t="s">
        <v>2032</v>
      </c>
      <c r="Y233" s="29"/>
      <c r="Z233" s="29"/>
      <c r="AA233" s="29"/>
      <c r="AB233" s="27" t="s">
        <v>2056</v>
      </c>
      <c r="AC233" s="27"/>
      <c r="AD233" s="27"/>
      <c r="AE233" s="31">
        <f t="shared" si="9"/>
        <v>111</v>
      </c>
      <c r="AF233" s="31"/>
      <c r="AG233" s="31"/>
    </row>
    <row r="234" spans="1:33" s="1" customFormat="1" ht="18.75" customHeight="1">
      <c r="A234" s="24" t="s">
        <v>2656</v>
      </c>
      <c r="B234" s="25" t="s">
        <v>2657</v>
      </c>
      <c r="C234" s="25"/>
      <c r="D234" s="25"/>
      <c r="E234" s="26" t="s">
        <v>2658</v>
      </c>
      <c r="F234" s="26"/>
      <c r="G234" s="26"/>
      <c r="H234" s="26"/>
      <c r="I234" s="26"/>
      <c r="J234" s="27" t="s">
        <v>2056</v>
      </c>
      <c r="K234" s="27"/>
      <c r="L234" s="27"/>
      <c r="M234" s="27"/>
      <c r="N234" s="28">
        <f t="shared" si="8"/>
        <v>111</v>
      </c>
      <c r="O234" s="28"/>
      <c r="P234" s="28"/>
      <c r="Q234" s="27" t="s">
        <v>2032</v>
      </c>
      <c r="R234" s="27"/>
      <c r="S234" s="29" t="s">
        <v>2032</v>
      </c>
      <c r="T234" s="29"/>
      <c r="U234" s="29"/>
      <c r="V234" s="29"/>
      <c r="W234" s="30" t="s">
        <v>2032</v>
      </c>
      <c r="X234" s="29" t="s">
        <v>2032</v>
      </c>
      <c r="Y234" s="29"/>
      <c r="Z234" s="29"/>
      <c r="AA234" s="29"/>
      <c r="AB234" s="27" t="s">
        <v>2056</v>
      </c>
      <c r="AC234" s="27"/>
      <c r="AD234" s="27"/>
      <c r="AE234" s="31">
        <f t="shared" si="9"/>
        <v>111</v>
      </c>
      <c r="AF234" s="31"/>
      <c r="AG234" s="31"/>
    </row>
    <row r="235" spans="1:33" s="1" customFormat="1" ht="18.75" customHeight="1">
      <c r="A235" s="24" t="s">
        <v>2659</v>
      </c>
      <c r="B235" s="25" t="s">
        <v>2660</v>
      </c>
      <c r="C235" s="25"/>
      <c r="D235" s="25"/>
      <c r="E235" s="26" t="s">
        <v>2661</v>
      </c>
      <c r="F235" s="26"/>
      <c r="G235" s="26"/>
      <c r="H235" s="26"/>
      <c r="I235" s="26"/>
      <c r="J235" s="27" t="s">
        <v>2056</v>
      </c>
      <c r="K235" s="27"/>
      <c r="L235" s="27"/>
      <c r="M235" s="27"/>
      <c r="N235" s="28">
        <f t="shared" si="8"/>
        <v>111</v>
      </c>
      <c r="O235" s="28"/>
      <c r="P235" s="28"/>
      <c r="Q235" s="27" t="s">
        <v>2032</v>
      </c>
      <c r="R235" s="27"/>
      <c r="S235" s="29" t="s">
        <v>2032</v>
      </c>
      <c r="T235" s="29"/>
      <c r="U235" s="29"/>
      <c r="V235" s="29"/>
      <c r="W235" s="30" t="s">
        <v>2032</v>
      </c>
      <c r="X235" s="29" t="s">
        <v>2032</v>
      </c>
      <c r="Y235" s="29"/>
      <c r="Z235" s="29"/>
      <c r="AA235" s="29"/>
      <c r="AB235" s="27" t="s">
        <v>2056</v>
      </c>
      <c r="AC235" s="27"/>
      <c r="AD235" s="27"/>
      <c r="AE235" s="31">
        <f t="shared" si="9"/>
        <v>111</v>
      </c>
      <c r="AF235" s="31"/>
      <c r="AG235" s="31"/>
    </row>
    <row r="236" spans="1:33" s="1" customFormat="1" ht="18.75" customHeight="1">
      <c r="A236" s="24" t="s">
        <v>2662</v>
      </c>
      <c r="B236" s="25" t="s">
        <v>2663</v>
      </c>
      <c r="C236" s="25"/>
      <c r="D236" s="25"/>
      <c r="E236" s="26" t="s">
        <v>2664</v>
      </c>
      <c r="F236" s="26"/>
      <c r="G236" s="26"/>
      <c r="H236" s="26"/>
      <c r="I236" s="26"/>
      <c r="J236" s="27" t="s">
        <v>2056</v>
      </c>
      <c r="K236" s="27"/>
      <c r="L236" s="27"/>
      <c r="M236" s="27"/>
      <c r="N236" s="28">
        <f t="shared" si="8"/>
        <v>111</v>
      </c>
      <c r="O236" s="28"/>
      <c r="P236" s="28"/>
      <c r="Q236" s="27" t="s">
        <v>2032</v>
      </c>
      <c r="R236" s="27"/>
      <c r="S236" s="29" t="s">
        <v>2032</v>
      </c>
      <c r="T236" s="29"/>
      <c r="U236" s="29"/>
      <c r="V236" s="29"/>
      <c r="W236" s="30" t="s">
        <v>2032</v>
      </c>
      <c r="X236" s="29" t="s">
        <v>2032</v>
      </c>
      <c r="Y236" s="29"/>
      <c r="Z236" s="29"/>
      <c r="AA236" s="29"/>
      <c r="AB236" s="27" t="s">
        <v>2056</v>
      </c>
      <c r="AC236" s="27"/>
      <c r="AD236" s="27"/>
      <c r="AE236" s="31">
        <f t="shared" si="9"/>
        <v>111</v>
      </c>
      <c r="AF236" s="31"/>
      <c r="AG236" s="31"/>
    </row>
    <row r="237" spans="1:33" s="1" customFormat="1" ht="18.75" customHeight="1">
      <c r="A237" s="24" t="s">
        <v>2665</v>
      </c>
      <c r="B237" s="25" t="s">
        <v>2666</v>
      </c>
      <c r="C237" s="25"/>
      <c r="D237" s="25"/>
      <c r="E237" s="26" t="s">
        <v>2667</v>
      </c>
      <c r="F237" s="26"/>
      <c r="G237" s="26"/>
      <c r="H237" s="26"/>
      <c r="I237" s="26"/>
      <c r="J237" s="27" t="s">
        <v>2056</v>
      </c>
      <c r="K237" s="27"/>
      <c r="L237" s="27"/>
      <c r="M237" s="27"/>
      <c r="N237" s="28">
        <f>578</f>
        <v>578</v>
      </c>
      <c r="O237" s="28"/>
      <c r="P237" s="28"/>
      <c r="Q237" s="27" t="s">
        <v>2032</v>
      </c>
      <c r="R237" s="27"/>
      <c r="S237" s="29" t="s">
        <v>2032</v>
      </c>
      <c r="T237" s="29"/>
      <c r="U237" s="29"/>
      <c r="V237" s="29"/>
      <c r="W237" s="30" t="s">
        <v>2032</v>
      </c>
      <c r="X237" s="29" t="s">
        <v>2032</v>
      </c>
      <c r="Y237" s="29"/>
      <c r="Z237" s="29"/>
      <c r="AA237" s="29"/>
      <c r="AB237" s="27" t="s">
        <v>2056</v>
      </c>
      <c r="AC237" s="27"/>
      <c r="AD237" s="27"/>
      <c r="AE237" s="31">
        <f>578</f>
        <v>578</v>
      </c>
      <c r="AF237" s="31"/>
      <c r="AG237" s="31"/>
    </row>
    <row r="238" spans="1:33" s="1" customFormat="1" ht="33" customHeight="1">
      <c r="A238" s="24" t="s">
        <v>2668</v>
      </c>
      <c r="B238" s="25" t="s">
        <v>2669</v>
      </c>
      <c r="C238" s="25"/>
      <c r="D238" s="25"/>
      <c r="E238" s="26" t="s">
        <v>2670</v>
      </c>
      <c r="F238" s="26"/>
      <c r="G238" s="26"/>
      <c r="H238" s="26"/>
      <c r="I238" s="26"/>
      <c r="J238" s="27" t="s">
        <v>2056</v>
      </c>
      <c r="K238" s="27"/>
      <c r="L238" s="27"/>
      <c r="M238" s="27"/>
      <c r="N238" s="28">
        <f>102.02</f>
        <v>102.02</v>
      </c>
      <c r="O238" s="28"/>
      <c r="P238" s="28"/>
      <c r="Q238" s="27" t="s">
        <v>2032</v>
      </c>
      <c r="R238" s="27"/>
      <c r="S238" s="29" t="s">
        <v>2032</v>
      </c>
      <c r="T238" s="29"/>
      <c r="U238" s="29"/>
      <c r="V238" s="29"/>
      <c r="W238" s="30" t="s">
        <v>2032</v>
      </c>
      <c r="X238" s="29" t="s">
        <v>2032</v>
      </c>
      <c r="Y238" s="29"/>
      <c r="Z238" s="29"/>
      <c r="AA238" s="29"/>
      <c r="AB238" s="27" t="s">
        <v>2056</v>
      </c>
      <c r="AC238" s="27"/>
      <c r="AD238" s="27"/>
      <c r="AE238" s="31">
        <f>102.02</f>
        <v>102.02</v>
      </c>
      <c r="AF238" s="31"/>
      <c r="AG238" s="31"/>
    </row>
    <row r="239" spans="1:33" s="1" customFormat="1" ht="18.75" customHeight="1">
      <c r="A239" s="24" t="s">
        <v>2671</v>
      </c>
      <c r="B239" s="25" t="s">
        <v>2672</v>
      </c>
      <c r="C239" s="25"/>
      <c r="D239" s="25"/>
      <c r="E239" s="26" t="s">
        <v>2673</v>
      </c>
      <c r="F239" s="26"/>
      <c r="G239" s="26"/>
      <c r="H239" s="26"/>
      <c r="I239" s="26"/>
      <c r="J239" s="27" t="s">
        <v>2056</v>
      </c>
      <c r="K239" s="27"/>
      <c r="L239" s="27"/>
      <c r="M239" s="27"/>
      <c r="N239" s="28">
        <f>111</f>
        <v>111</v>
      </c>
      <c r="O239" s="28"/>
      <c r="P239" s="28"/>
      <c r="Q239" s="27" t="s">
        <v>2032</v>
      </c>
      <c r="R239" s="27"/>
      <c r="S239" s="29" t="s">
        <v>2032</v>
      </c>
      <c r="T239" s="29"/>
      <c r="U239" s="29"/>
      <c r="V239" s="29"/>
      <c r="W239" s="30" t="s">
        <v>2032</v>
      </c>
      <c r="X239" s="29" t="s">
        <v>2032</v>
      </c>
      <c r="Y239" s="29"/>
      <c r="Z239" s="29"/>
      <c r="AA239" s="29"/>
      <c r="AB239" s="27" t="s">
        <v>2056</v>
      </c>
      <c r="AC239" s="27"/>
      <c r="AD239" s="27"/>
      <c r="AE239" s="31">
        <f>111</f>
        <v>111</v>
      </c>
      <c r="AF239" s="31"/>
      <c r="AG239" s="31"/>
    </row>
    <row r="240" spans="1:33" s="1" customFormat="1" ht="18.75" customHeight="1">
      <c r="A240" s="24" t="s">
        <v>2674</v>
      </c>
      <c r="B240" s="25" t="s">
        <v>2675</v>
      </c>
      <c r="C240" s="25"/>
      <c r="D240" s="25"/>
      <c r="E240" s="26" t="s">
        <v>2676</v>
      </c>
      <c r="F240" s="26"/>
      <c r="G240" s="26"/>
      <c r="H240" s="26"/>
      <c r="I240" s="26"/>
      <c r="J240" s="27" t="s">
        <v>2056</v>
      </c>
      <c r="K240" s="27"/>
      <c r="L240" s="27"/>
      <c r="M240" s="27"/>
      <c r="N240" s="28">
        <f>111</f>
        <v>111</v>
      </c>
      <c r="O240" s="28"/>
      <c r="P240" s="28"/>
      <c r="Q240" s="27" t="s">
        <v>2032</v>
      </c>
      <c r="R240" s="27"/>
      <c r="S240" s="29" t="s">
        <v>2032</v>
      </c>
      <c r="T240" s="29"/>
      <c r="U240" s="29"/>
      <c r="V240" s="29"/>
      <c r="W240" s="30" t="s">
        <v>2032</v>
      </c>
      <c r="X240" s="29" t="s">
        <v>2032</v>
      </c>
      <c r="Y240" s="29"/>
      <c r="Z240" s="29"/>
      <c r="AA240" s="29"/>
      <c r="AB240" s="27" t="s">
        <v>2056</v>
      </c>
      <c r="AC240" s="27"/>
      <c r="AD240" s="27"/>
      <c r="AE240" s="31">
        <f>111</f>
        <v>111</v>
      </c>
      <c r="AF240" s="31"/>
      <c r="AG240" s="31"/>
    </row>
    <row r="241" spans="1:33" s="1" customFormat="1" ht="18.75" customHeight="1">
      <c r="A241" s="24" t="s">
        <v>2677</v>
      </c>
      <c r="B241" s="25" t="s">
        <v>2678</v>
      </c>
      <c r="C241" s="25"/>
      <c r="D241" s="25"/>
      <c r="E241" s="26" t="s">
        <v>2679</v>
      </c>
      <c r="F241" s="26"/>
      <c r="G241" s="26"/>
      <c r="H241" s="26"/>
      <c r="I241" s="26"/>
      <c r="J241" s="27" t="s">
        <v>2056</v>
      </c>
      <c r="K241" s="27"/>
      <c r="L241" s="27"/>
      <c r="M241" s="27"/>
      <c r="N241" s="28">
        <f>111</f>
        <v>111</v>
      </c>
      <c r="O241" s="28"/>
      <c r="P241" s="28"/>
      <c r="Q241" s="27" t="s">
        <v>2032</v>
      </c>
      <c r="R241" s="27"/>
      <c r="S241" s="29" t="s">
        <v>2032</v>
      </c>
      <c r="T241" s="29"/>
      <c r="U241" s="29"/>
      <c r="V241" s="29"/>
      <c r="W241" s="30" t="s">
        <v>2032</v>
      </c>
      <c r="X241" s="29" t="s">
        <v>2032</v>
      </c>
      <c r="Y241" s="29"/>
      <c r="Z241" s="29"/>
      <c r="AA241" s="29"/>
      <c r="AB241" s="27" t="s">
        <v>2056</v>
      </c>
      <c r="AC241" s="27"/>
      <c r="AD241" s="27"/>
      <c r="AE241" s="31">
        <f>111</f>
        <v>111</v>
      </c>
      <c r="AF241" s="31"/>
      <c r="AG241" s="31"/>
    </row>
    <row r="242" spans="1:33" s="1" customFormat="1" ht="18.75" customHeight="1">
      <c r="A242" s="24" t="s">
        <v>2680</v>
      </c>
      <c r="B242" s="25" t="s">
        <v>2681</v>
      </c>
      <c r="C242" s="25"/>
      <c r="D242" s="25"/>
      <c r="E242" s="26" t="s">
        <v>2682</v>
      </c>
      <c r="F242" s="26"/>
      <c r="G242" s="26"/>
      <c r="H242" s="26"/>
      <c r="I242" s="26"/>
      <c r="J242" s="27" t="s">
        <v>2056</v>
      </c>
      <c r="K242" s="27"/>
      <c r="L242" s="27"/>
      <c r="M242" s="27"/>
      <c r="N242" s="28">
        <f>111</f>
        <v>111</v>
      </c>
      <c r="O242" s="28"/>
      <c r="P242" s="28"/>
      <c r="Q242" s="27" t="s">
        <v>2032</v>
      </c>
      <c r="R242" s="27"/>
      <c r="S242" s="29" t="s">
        <v>2032</v>
      </c>
      <c r="T242" s="29"/>
      <c r="U242" s="29"/>
      <c r="V242" s="29"/>
      <c r="W242" s="30" t="s">
        <v>2032</v>
      </c>
      <c r="X242" s="29" t="s">
        <v>2032</v>
      </c>
      <c r="Y242" s="29"/>
      <c r="Z242" s="29"/>
      <c r="AA242" s="29"/>
      <c r="AB242" s="27" t="s">
        <v>2056</v>
      </c>
      <c r="AC242" s="27"/>
      <c r="AD242" s="27"/>
      <c r="AE242" s="31">
        <f>111</f>
        <v>111</v>
      </c>
      <c r="AF242" s="31"/>
      <c r="AG242" s="31"/>
    </row>
    <row r="243" spans="1:33" s="1" customFormat="1" ht="33" customHeight="1">
      <c r="A243" s="24" t="s">
        <v>2683</v>
      </c>
      <c r="B243" s="25" t="s">
        <v>2684</v>
      </c>
      <c r="C243" s="25"/>
      <c r="D243" s="25"/>
      <c r="E243" s="26" t="s">
        <v>2685</v>
      </c>
      <c r="F243" s="26"/>
      <c r="G243" s="26"/>
      <c r="H243" s="26"/>
      <c r="I243" s="26"/>
      <c r="J243" s="27" t="s">
        <v>2056</v>
      </c>
      <c r="K243" s="27"/>
      <c r="L243" s="27"/>
      <c r="M243" s="27"/>
      <c r="N243" s="28">
        <f>100.01</f>
        <v>100.01</v>
      </c>
      <c r="O243" s="28"/>
      <c r="P243" s="28"/>
      <c r="Q243" s="27" t="s">
        <v>2032</v>
      </c>
      <c r="R243" s="27"/>
      <c r="S243" s="29" t="s">
        <v>2032</v>
      </c>
      <c r="T243" s="29"/>
      <c r="U243" s="29"/>
      <c r="V243" s="29"/>
      <c r="W243" s="30" t="s">
        <v>2032</v>
      </c>
      <c r="X243" s="29" t="s">
        <v>2032</v>
      </c>
      <c r="Y243" s="29"/>
      <c r="Z243" s="29"/>
      <c r="AA243" s="29"/>
      <c r="AB243" s="27" t="s">
        <v>2056</v>
      </c>
      <c r="AC243" s="27"/>
      <c r="AD243" s="27"/>
      <c r="AE243" s="31">
        <f>100.01</f>
        <v>100.01</v>
      </c>
      <c r="AF243" s="31"/>
      <c r="AG243" s="31"/>
    </row>
    <row r="244" spans="1:33" s="1" customFormat="1" ht="33" customHeight="1">
      <c r="A244" s="24" t="s">
        <v>2686</v>
      </c>
      <c r="B244" s="25" t="s">
        <v>2687</v>
      </c>
      <c r="C244" s="25"/>
      <c r="D244" s="25"/>
      <c r="E244" s="26" t="s">
        <v>2688</v>
      </c>
      <c r="F244" s="26"/>
      <c r="G244" s="26"/>
      <c r="H244" s="26"/>
      <c r="I244" s="26"/>
      <c r="J244" s="27" t="s">
        <v>2056</v>
      </c>
      <c r="K244" s="27"/>
      <c r="L244" s="27"/>
      <c r="M244" s="27"/>
      <c r="N244" s="28">
        <f>2630.25</f>
        <v>2630.25</v>
      </c>
      <c r="O244" s="28"/>
      <c r="P244" s="28"/>
      <c r="Q244" s="27" t="s">
        <v>2032</v>
      </c>
      <c r="R244" s="27"/>
      <c r="S244" s="29" t="s">
        <v>2032</v>
      </c>
      <c r="T244" s="29"/>
      <c r="U244" s="29"/>
      <c r="V244" s="29"/>
      <c r="W244" s="30" t="s">
        <v>2032</v>
      </c>
      <c r="X244" s="29" t="s">
        <v>2032</v>
      </c>
      <c r="Y244" s="29"/>
      <c r="Z244" s="29"/>
      <c r="AA244" s="29"/>
      <c r="AB244" s="27" t="s">
        <v>2056</v>
      </c>
      <c r="AC244" s="27"/>
      <c r="AD244" s="27"/>
      <c r="AE244" s="31">
        <f>2630.25</f>
        <v>2630.25</v>
      </c>
      <c r="AF244" s="31"/>
      <c r="AG244" s="31"/>
    </row>
    <row r="245" spans="1:33" s="1" customFormat="1" ht="18.75" customHeight="1">
      <c r="A245" s="24" t="s">
        <v>2689</v>
      </c>
      <c r="B245" s="25" t="s">
        <v>2690</v>
      </c>
      <c r="C245" s="25"/>
      <c r="D245" s="25"/>
      <c r="E245" s="26" t="s">
        <v>2691</v>
      </c>
      <c r="F245" s="26"/>
      <c r="G245" s="26"/>
      <c r="H245" s="26"/>
      <c r="I245" s="26"/>
      <c r="J245" s="27" t="s">
        <v>2056</v>
      </c>
      <c r="K245" s="27"/>
      <c r="L245" s="27"/>
      <c r="M245" s="27"/>
      <c r="N245" s="28">
        <f>1731</f>
        <v>1731</v>
      </c>
      <c r="O245" s="28"/>
      <c r="P245" s="28"/>
      <c r="Q245" s="27" t="s">
        <v>2032</v>
      </c>
      <c r="R245" s="27"/>
      <c r="S245" s="29" t="s">
        <v>2032</v>
      </c>
      <c r="T245" s="29"/>
      <c r="U245" s="29"/>
      <c r="V245" s="29"/>
      <c r="W245" s="30" t="s">
        <v>2032</v>
      </c>
      <c r="X245" s="29" t="s">
        <v>2032</v>
      </c>
      <c r="Y245" s="29"/>
      <c r="Z245" s="29"/>
      <c r="AA245" s="29"/>
      <c r="AB245" s="27" t="s">
        <v>2056</v>
      </c>
      <c r="AC245" s="27"/>
      <c r="AD245" s="27"/>
      <c r="AE245" s="31">
        <f>1731</f>
        <v>1731</v>
      </c>
      <c r="AF245" s="31"/>
      <c r="AG245" s="31"/>
    </row>
    <row r="246" spans="1:33" s="1" customFormat="1" ht="18.75" customHeight="1">
      <c r="A246" s="24" t="s">
        <v>2692</v>
      </c>
      <c r="B246" s="25" t="s">
        <v>2693</v>
      </c>
      <c r="C246" s="25"/>
      <c r="D246" s="25"/>
      <c r="E246" s="26" t="s">
        <v>2694</v>
      </c>
      <c r="F246" s="26"/>
      <c r="G246" s="26"/>
      <c r="H246" s="26"/>
      <c r="I246" s="26"/>
      <c r="J246" s="27" t="s">
        <v>2056</v>
      </c>
      <c r="K246" s="27"/>
      <c r="L246" s="27"/>
      <c r="M246" s="27"/>
      <c r="N246" s="28">
        <f>1889</f>
        <v>1889</v>
      </c>
      <c r="O246" s="28"/>
      <c r="P246" s="28"/>
      <c r="Q246" s="27" t="s">
        <v>2032</v>
      </c>
      <c r="R246" s="27"/>
      <c r="S246" s="29" t="s">
        <v>2032</v>
      </c>
      <c r="T246" s="29"/>
      <c r="U246" s="29"/>
      <c r="V246" s="29"/>
      <c r="W246" s="30" t="s">
        <v>2032</v>
      </c>
      <c r="X246" s="29" t="s">
        <v>2032</v>
      </c>
      <c r="Y246" s="29"/>
      <c r="Z246" s="29"/>
      <c r="AA246" s="29"/>
      <c r="AB246" s="27" t="s">
        <v>2056</v>
      </c>
      <c r="AC246" s="27"/>
      <c r="AD246" s="27"/>
      <c r="AE246" s="31">
        <f>1889</f>
        <v>1889</v>
      </c>
      <c r="AF246" s="31"/>
      <c r="AG246" s="31"/>
    </row>
    <row r="247" spans="1:33" s="1" customFormat="1" ht="46.5" customHeight="1">
      <c r="A247" s="24" t="s">
        <v>2695</v>
      </c>
      <c r="B247" s="25" t="s">
        <v>2696</v>
      </c>
      <c r="C247" s="25"/>
      <c r="D247" s="25"/>
      <c r="E247" s="26" t="s">
        <v>2697</v>
      </c>
      <c r="F247" s="26"/>
      <c r="G247" s="26"/>
      <c r="H247" s="26"/>
      <c r="I247" s="26"/>
      <c r="J247" s="27" t="s">
        <v>2056</v>
      </c>
      <c r="K247" s="27"/>
      <c r="L247" s="27"/>
      <c r="M247" s="27"/>
      <c r="N247" s="28">
        <f>325</f>
        <v>325</v>
      </c>
      <c r="O247" s="28"/>
      <c r="P247" s="28"/>
      <c r="Q247" s="27" t="s">
        <v>2032</v>
      </c>
      <c r="R247" s="27"/>
      <c r="S247" s="29" t="s">
        <v>2032</v>
      </c>
      <c r="T247" s="29"/>
      <c r="U247" s="29"/>
      <c r="V247" s="29"/>
      <c r="W247" s="30" t="s">
        <v>2032</v>
      </c>
      <c r="X247" s="29" t="s">
        <v>2032</v>
      </c>
      <c r="Y247" s="29"/>
      <c r="Z247" s="29"/>
      <c r="AA247" s="29"/>
      <c r="AB247" s="27" t="s">
        <v>2056</v>
      </c>
      <c r="AC247" s="27"/>
      <c r="AD247" s="27"/>
      <c r="AE247" s="31">
        <f>325</f>
        <v>325</v>
      </c>
      <c r="AF247" s="31"/>
      <c r="AG247" s="31"/>
    </row>
    <row r="248" spans="1:33" s="1" customFormat="1" ht="33" customHeight="1">
      <c r="A248" s="24" t="s">
        <v>2698</v>
      </c>
      <c r="B248" s="25" t="s">
        <v>2699</v>
      </c>
      <c r="C248" s="25"/>
      <c r="D248" s="25"/>
      <c r="E248" s="26" t="s">
        <v>2700</v>
      </c>
      <c r="F248" s="26"/>
      <c r="G248" s="26"/>
      <c r="H248" s="26"/>
      <c r="I248" s="26"/>
      <c r="J248" s="27" t="s">
        <v>2056</v>
      </c>
      <c r="K248" s="27"/>
      <c r="L248" s="27"/>
      <c r="M248" s="27"/>
      <c r="N248" s="28">
        <f>325</f>
        <v>325</v>
      </c>
      <c r="O248" s="28"/>
      <c r="P248" s="28"/>
      <c r="Q248" s="27" t="s">
        <v>2032</v>
      </c>
      <c r="R248" s="27"/>
      <c r="S248" s="29" t="s">
        <v>2032</v>
      </c>
      <c r="T248" s="29"/>
      <c r="U248" s="29"/>
      <c r="V248" s="29"/>
      <c r="W248" s="30" t="s">
        <v>2032</v>
      </c>
      <c r="X248" s="29" t="s">
        <v>2032</v>
      </c>
      <c r="Y248" s="29"/>
      <c r="Z248" s="29"/>
      <c r="AA248" s="29"/>
      <c r="AB248" s="27" t="s">
        <v>2056</v>
      </c>
      <c r="AC248" s="27"/>
      <c r="AD248" s="27"/>
      <c r="AE248" s="31">
        <f>325</f>
        <v>325</v>
      </c>
      <c r="AF248" s="31"/>
      <c r="AG248" s="31"/>
    </row>
    <row r="249" spans="1:33" s="1" customFormat="1" ht="33" customHeight="1">
      <c r="A249" s="24" t="s">
        <v>2701</v>
      </c>
      <c r="B249" s="25" t="s">
        <v>2702</v>
      </c>
      <c r="C249" s="25"/>
      <c r="D249" s="25"/>
      <c r="E249" s="26" t="s">
        <v>2703</v>
      </c>
      <c r="F249" s="26"/>
      <c r="G249" s="26"/>
      <c r="H249" s="26"/>
      <c r="I249" s="26"/>
      <c r="J249" s="27" t="s">
        <v>2056</v>
      </c>
      <c r="K249" s="27"/>
      <c r="L249" s="27"/>
      <c r="M249" s="27"/>
      <c r="N249" s="28">
        <f>325</f>
        <v>325</v>
      </c>
      <c r="O249" s="28"/>
      <c r="P249" s="28"/>
      <c r="Q249" s="27" t="s">
        <v>2032</v>
      </c>
      <c r="R249" s="27"/>
      <c r="S249" s="29" t="s">
        <v>2032</v>
      </c>
      <c r="T249" s="29"/>
      <c r="U249" s="29"/>
      <c r="V249" s="29"/>
      <c r="W249" s="30" t="s">
        <v>2032</v>
      </c>
      <c r="X249" s="29" t="s">
        <v>2032</v>
      </c>
      <c r="Y249" s="29"/>
      <c r="Z249" s="29"/>
      <c r="AA249" s="29"/>
      <c r="AB249" s="27" t="s">
        <v>2056</v>
      </c>
      <c r="AC249" s="27"/>
      <c r="AD249" s="27"/>
      <c r="AE249" s="31">
        <f>325</f>
        <v>325</v>
      </c>
      <c r="AF249" s="31"/>
      <c r="AG249" s="31"/>
    </row>
    <row r="250" spans="1:33" s="1" customFormat="1" ht="18.75" customHeight="1">
      <c r="A250" s="24" t="s">
        <v>2704</v>
      </c>
      <c r="B250" s="25" t="s">
        <v>2705</v>
      </c>
      <c r="C250" s="25"/>
      <c r="D250" s="25"/>
      <c r="E250" s="26" t="s">
        <v>2706</v>
      </c>
      <c r="F250" s="26"/>
      <c r="G250" s="26"/>
      <c r="H250" s="26"/>
      <c r="I250" s="26"/>
      <c r="J250" s="27" t="s">
        <v>2056</v>
      </c>
      <c r="K250" s="27"/>
      <c r="L250" s="27"/>
      <c r="M250" s="27"/>
      <c r="N250" s="28">
        <f>672.33</f>
        <v>672.33</v>
      </c>
      <c r="O250" s="28"/>
      <c r="P250" s="28"/>
      <c r="Q250" s="27" t="s">
        <v>2032</v>
      </c>
      <c r="R250" s="27"/>
      <c r="S250" s="29" t="s">
        <v>2032</v>
      </c>
      <c r="T250" s="29"/>
      <c r="U250" s="29"/>
      <c r="V250" s="29"/>
      <c r="W250" s="30" t="s">
        <v>2032</v>
      </c>
      <c r="X250" s="29" t="s">
        <v>2032</v>
      </c>
      <c r="Y250" s="29"/>
      <c r="Z250" s="29"/>
      <c r="AA250" s="29"/>
      <c r="AB250" s="27" t="s">
        <v>2056</v>
      </c>
      <c r="AC250" s="27"/>
      <c r="AD250" s="27"/>
      <c r="AE250" s="31">
        <f>672.33</f>
        <v>672.33</v>
      </c>
      <c r="AF250" s="31"/>
      <c r="AG250" s="31"/>
    </row>
    <row r="251" spans="1:33" s="1" customFormat="1" ht="33" customHeight="1">
      <c r="A251" s="24" t="s">
        <v>2707</v>
      </c>
      <c r="B251" s="25" t="s">
        <v>2708</v>
      </c>
      <c r="C251" s="25"/>
      <c r="D251" s="25"/>
      <c r="E251" s="26" t="s">
        <v>2709</v>
      </c>
      <c r="F251" s="26"/>
      <c r="G251" s="26"/>
      <c r="H251" s="26"/>
      <c r="I251" s="26"/>
      <c r="J251" s="27" t="s">
        <v>2056</v>
      </c>
      <c r="K251" s="27"/>
      <c r="L251" s="27"/>
      <c r="M251" s="27"/>
      <c r="N251" s="28">
        <f>325</f>
        <v>325</v>
      </c>
      <c r="O251" s="28"/>
      <c r="P251" s="28"/>
      <c r="Q251" s="27" t="s">
        <v>2032</v>
      </c>
      <c r="R251" s="27"/>
      <c r="S251" s="29" t="s">
        <v>2032</v>
      </c>
      <c r="T251" s="29"/>
      <c r="U251" s="29"/>
      <c r="V251" s="29"/>
      <c r="W251" s="30" t="s">
        <v>2032</v>
      </c>
      <c r="X251" s="29" t="s">
        <v>2032</v>
      </c>
      <c r="Y251" s="29"/>
      <c r="Z251" s="29"/>
      <c r="AA251" s="29"/>
      <c r="AB251" s="27" t="s">
        <v>2056</v>
      </c>
      <c r="AC251" s="27"/>
      <c r="AD251" s="27"/>
      <c r="AE251" s="31">
        <f>325</f>
        <v>325</v>
      </c>
      <c r="AF251" s="31"/>
      <c r="AG251" s="31"/>
    </row>
    <row r="252" spans="1:33" s="1" customFormat="1" ht="33" customHeight="1">
      <c r="A252" s="24" t="s">
        <v>2710</v>
      </c>
      <c r="B252" s="25" t="s">
        <v>2711</v>
      </c>
      <c r="C252" s="25"/>
      <c r="D252" s="25"/>
      <c r="E252" s="26" t="s">
        <v>2712</v>
      </c>
      <c r="F252" s="26"/>
      <c r="G252" s="26"/>
      <c r="H252" s="26"/>
      <c r="I252" s="26"/>
      <c r="J252" s="27" t="s">
        <v>2056</v>
      </c>
      <c r="K252" s="27"/>
      <c r="L252" s="27"/>
      <c r="M252" s="27"/>
      <c r="N252" s="28">
        <f>325</f>
        <v>325</v>
      </c>
      <c r="O252" s="28"/>
      <c r="P252" s="28"/>
      <c r="Q252" s="27" t="s">
        <v>2032</v>
      </c>
      <c r="R252" s="27"/>
      <c r="S252" s="29" t="s">
        <v>2032</v>
      </c>
      <c r="T252" s="29"/>
      <c r="U252" s="29"/>
      <c r="V252" s="29"/>
      <c r="W252" s="30" t="s">
        <v>2032</v>
      </c>
      <c r="X252" s="29" t="s">
        <v>2032</v>
      </c>
      <c r="Y252" s="29"/>
      <c r="Z252" s="29"/>
      <c r="AA252" s="29"/>
      <c r="AB252" s="27" t="s">
        <v>2056</v>
      </c>
      <c r="AC252" s="27"/>
      <c r="AD252" s="27"/>
      <c r="AE252" s="31">
        <f>325</f>
        <v>325</v>
      </c>
      <c r="AF252" s="31"/>
      <c r="AG252" s="31"/>
    </row>
    <row r="253" spans="1:33" s="1" customFormat="1" ht="18.75" customHeight="1">
      <c r="A253" s="24" t="s">
        <v>2713</v>
      </c>
      <c r="B253" s="25" t="s">
        <v>2714</v>
      </c>
      <c r="C253" s="25"/>
      <c r="D253" s="25"/>
      <c r="E253" s="26" t="s">
        <v>2715</v>
      </c>
      <c r="F253" s="26"/>
      <c r="G253" s="26"/>
      <c r="H253" s="26"/>
      <c r="I253" s="26"/>
      <c r="J253" s="27" t="s">
        <v>2058</v>
      </c>
      <c r="K253" s="27"/>
      <c r="L253" s="27"/>
      <c r="M253" s="27"/>
      <c r="N253" s="28">
        <f>219.18</f>
        <v>219.18</v>
      </c>
      <c r="O253" s="28"/>
      <c r="P253" s="28"/>
      <c r="Q253" s="27" t="s">
        <v>2032</v>
      </c>
      <c r="R253" s="27"/>
      <c r="S253" s="29" t="s">
        <v>2032</v>
      </c>
      <c r="T253" s="29"/>
      <c r="U253" s="29"/>
      <c r="V253" s="29"/>
      <c r="W253" s="30" t="s">
        <v>2032</v>
      </c>
      <c r="X253" s="29" t="s">
        <v>2032</v>
      </c>
      <c r="Y253" s="29"/>
      <c r="Z253" s="29"/>
      <c r="AA253" s="29"/>
      <c r="AB253" s="27" t="s">
        <v>2058</v>
      </c>
      <c r="AC253" s="27"/>
      <c r="AD253" s="27"/>
      <c r="AE253" s="31">
        <f>219.18</f>
        <v>219.18</v>
      </c>
      <c r="AF253" s="31"/>
      <c r="AG253" s="31"/>
    </row>
    <row r="254" spans="1:33" s="1" customFormat="1" ht="18.75" customHeight="1">
      <c r="A254" s="24" t="s">
        <v>2716</v>
      </c>
      <c r="B254" s="25" t="s">
        <v>2717</v>
      </c>
      <c r="C254" s="25"/>
      <c r="D254" s="25"/>
      <c r="E254" s="26" t="s">
        <v>2718</v>
      </c>
      <c r="F254" s="26"/>
      <c r="G254" s="26"/>
      <c r="H254" s="26"/>
      <c r="I254" s="26"/>
      <c r="J254" s="27" t="s">
        <v>2056</v>
      </c>
      <c r="K254" s="27"/>
      <c r="L254" s="27"/>
      <c r="M254" s="27"/>
      <c r="N254" s="28">
        <f>73.06</f>
        <v>73.06</v>
      </c>
      <c r="O254" s="28"/>
      <c r="P254" s="28"/>
      <c r="Q254" s="27" t="s">
        <v>2032</v>
      </c>
      <c r="R254" s="27"/>
      <c r="S254" s="29" t="s">
        <v>2032</v>
      </c>
      <c r="T254" s="29"/>
      <c r="U254" s="29"/>
      <c r="V254" s="29"/>
      <c r="W254" s="30" t="s">
        <v>2032</v>
      </c>
      <c r="X254" s="29" t="s">
        <v>2032</v>
      </c>
      <c r="Y254" s="29"/>
      <c r="Z254" s="29"/>
      <c r="AA254" s="29"/>
      <c r="AB254" s="27" t="s">
        <v>2056</v>
      </c>
      <c r="AC254" s="27"/>
      <c r="AD254" s="27"/>
      <c r="AE254" s="31">
        <f>73.06</f>
        <v>73.06</v>
      </c>
      <c r="AF254" s="31"/>
      <c r="AG254" s="31"/>
    </row>
    <row r="255" spans="1:33" s="1" customFormat="1" ht="18.75" customHeight="1">
      <c r="A255" s="24" t="s">
        <v>2719</v>
      </c>
      <c r="B255" s="25" t="s">
        <v>2720</v>
      </c>
      <c r="C255" s="25"/>
      <c r="D255" s="25"/>
      <c r="E255" s="26" t="s">
        <v>2721</v>
      </c>
      <c r="F255" s="26"/>
      <c r="G255" s="26"/>
      <c r="H255" s="26"/>
      <c r="I255" s="26"/>
      <c r="J255" s="27" t="s">
        <v>2056</v>
      </c>
      <c r="K255" s="27"/>
      <c r="L255" s="27"/>
      <c r="M255" s="27"/>
      <c r="N255" s="28">
        <f>73.06</f>
        <v>73.06</v>
      </c>
      <c r="O255" s="28"/>
      <c r="P255" s="28"/>
      <c r="Q255" s="27" t="s">
        <v>2032</v>
      </c>
      <c r="R255" s="27"/>
      <c r="S255" s="29" t="s">
        <v>2032</v>
      </c>
      <c r="T255" s="29"/>
      <c r="U255" s="29"/>
      <c r="V255" s="29"/>
      <c r="W255" s="30" t="s">
        <v>2032</v>
      </c>
      <c r="X255" s="29" t="s">
        <v>2032</v>
      </c>
      <c r="Y255" s="29"/>
      <c r="Z255" s="29"/>
      <c r="AA255" s="29"/>
      <c r="AB255" s="27" t="s">
        <v>2056</v>
      </c>
      <c r="AC255" s="27"/>
      <c r="AD255" s="27"/>
      <c r="AE255" s="31">
        <f>73.06</f>
        <v>73.06</v>
      </c>
      <c r="AF255" s="31"/>
      <c r="AG255" s="31"/>
    </row>
    <row r="256" spans="1:33" s="1" customFormat="1" ht="18.75" customHeight="1">
      <c r="A256" s="24" t="s">
        <v>2722</v>
      </c>
      <c r="B256" s="25" t="s">
        <v>2723</v>
      </c>
      <c r="C256" s="25"/>
      <c r="D256" s="25"/>
      <c r="E256" s="26" t="s">
        <v>2724</v>
      </c>
      <c r="F256" s="26"/>
      <c r="G256" s="26"/>
      <c r="H256" s="26"/>
      <c r="I256" s="26"/>
      <c r="J256" s="27" t="s">
        <v>2057</v>
      </c>
      <c r="K256" s="27"/>
      <c r="L256" s="27"/>
      <c r="M256" s="27"/>
      <c r="N256" s="28">
        <f>146.12</f>
        <v>146.12</v>
      </c>
      <c r="O256" s="28"/>
      <c r="P256" s="28"/>
      <c r="Q256" s="27" t="s">
        <v>2032</v>
      </c>
      <c r="R256" s="27"/>
      <c r="S256" s="29" t="s">
        <v>2032</v>
      </c>
      <c r="T256" s="29"/>
      <c r="U256" s="29"/>
      <c r="V256" s="29"/>
      <c r="W256" s="30" t="s">
        <v>2032</v>
      </c>
      <c r="X256" s="29" t="s">
        <v>2032</v>
      </c>
      <c r="Y256" s="29"/>
      <c r="Z256" s="29"/>
      <c r="AA256" s="29"/>
      <c r="AB256" s="27" t="s">
        <v>2057</v>
      </c>
      <c r="AC256" s="27"/>
      <c r="AD256" s="27"/>
      <c r="AE256" s="31">
        <f>146.12</f>
        <v>146.12</v>
      </c>
      <c r="AF256" s="31"/>
      <c r="AG256" s="31"/>
    </row>
    <row r="257" spans="1:33" s="1" customFormat="1" ht="18.75" customHeight="1">
      <c r="A257" s="24" t="s">
        <v>2725</v>
      </c>
      <c r="B257" s="25" t="s">
        <v>2726</v>
      </c>
      <c r="C257" s="25"/>
      <c r="D257" s="25"/>
      <c r="E257" s="26" t="s">
        <v>2724</v>
      </c>
      <c r="F257" s="26"/>
      <c r="G257" s="26"/>
      <c r="H257" s="26"/>
      <c r="I257" s="26"/>
      <c r="J257" s="27" t="s">
        <v>2057</v>
      </c>
      <c r="K257" s="27"/>
      <c r="L257" s="27"/>
      <c r="M257" s="27"/>
      <c r="N257" s="28">
        <f>146.12</f>
        <v>146.12</v>
      </c>
      <c r="O257" s="28"/>
      <c r="P257" s="28"/>
      <c r="Q257" s="27" t="s">
        <v>2032</v>
      </c>
      <c r="R257" s="27"/>
      <c r="S257" s="29" t="s">
        <v>2032</v>
      </c>
      <c r="T257" s="29"/>
      <c r="U257" s="29"/>
      <c r="V257" s="29"/>
      <c r="W257" s="30" t="s">
        <v>2032</v>
      </c>
      <c r="X257" s="29" t="s">
        <v>2032</v>
      </c>
      <c r="Y257" s="29"/>
      <c r="Z257" s="29"/>
      <c r="AA257" s="29"/>
      <c r="AB257" s="27" t="s">
        <v>2057</v>
      </c>
      <c r="AC257" s="27"/>
      <c r="AD257" s="27"/>
      <c r="AE257" s="31">
        <f>146.12</f>
        <v>146.12</v>
      </c>
      <c r="AF257" s="31"/>
      <c r="AG257" s="31"/>
    </row>
    <row r="258" spans="1:33" s="1" customFormat="1" ht="18.75" customHeight="1">
      <c r="A258" s="24" t="s">
        <v>2727</v>
      </c>
      <c r="B258" s="25" t="s">
        <v>2728</v>
      </c>
      <c r="C258" s="25"/>
      <c r="D258" s="25"/>
      <c r="E258" s="26" t="s">
        <v>2729</v>
      </c>
      <c r="F258" s="26"/>
      <c r="G258" s="26"/>
      <c r="H258" s="26"/>
      <c r="I258" s="26"/>
      <c r="J258" s="27" t="s">
        <v>2058</v>
      </c>
      <c r="K258" s="27"/>
      <c r="L258" s="27"/>
      <c r="M258" s="27"/>
      <c r="N258" s="28">
        <f>219.18</f>
        <v>219.18</v>
      </c>
      <c r="O258" s="28"/>
      <c r="P258" s="28"/>
      <c r="Q258" s="27" t="s">
        <v>2032</v>
      </c>
      <c r="R258" s="27"/>
      <c r="S258" s="29" t="s">
        <v>2032</v>
      </c>
      <c r="T258" s="29"/>
      <c r="U258" s="29"/>
      <c r="V258" s="29"/>
      <c r="W258" s="30" t="s">
        <v>2032</v>
      </c>
      <c r="X258" s="29" t="s">
        <v>2032</v>
      </c>
      <c r="Y258" s="29"/>
      <c r="Z258" s="29"/>
      <c r="AA258" s="29"/>
      <c r="AB258" s="27" t="s">
        <v>2058</v>
      </c>
      <c r="AC258" s="27"/>
      <c r="AD258" s="27"/>
      <c r="AE258" s="31">
        <f>219.18</f>
        <v>219.18</v>
      </c>
      <c r="AF258" s="31"/>
      <c r="AG258" s="31"/>
    </row>
    <row r="259" spans="1:33" s="1" customFormat="1" ht="18.75" customHeight="1">
      <c r="A259" s="24" t="s">
        <v>2730</v>
      </c>
      <c r="B259" s="25" t="s">
        <v>2731</v>
      </c>
      <c r="C259" s="25"/>
      <c r="D259" s="25"/>
      <c r="E259" s="26" t="s">
        <v>2732</v>
      </c>
      <c r="F259" s="26"/>
      <c r="G259" s="26"/>
      <c r="H259" s="26"/>
      <c r="I259" s="26"/>
      <c r="J259" s="27" t="s">
        <v>2056</v>
      </c>
      <c r="K259" s="27"/>
      <c r="L259" s="27"/>
      <c r="M259" s="27"/>
      <c r="N259" s="28">
        <f>73.06</f>
        <v>73.06</v>
      </c>
      <c r="O259" s="28"/>
      <c r="P259" s="28"/>
      <c r="Q259" s="27" t="s">
        <v>2032</v>
      </c>
      <c r="R259" s="27"/>
      <c r="S259" s="29" t="s">
        <v>2032</v>
      </c>
      <c r="T259" s="29"/>
      <c r="U259" s="29"/>
      <c r="V259" s="29"/>
      <c r="W259" s="30" t="s">
        <v>2032</v>
      </c>
      <c r="X259" s="29" t="s">
        <v>2032</v>
      </c>
      <c r="Y259" s="29"/>
      <c r="Z259" s="29"/>
      <c r="AA259" s="29"/>
      <c r="AB259" s="27" t="s">
        <v>2056</v>
      </c>
      <c r="AC259" s="27"/>
      <c r="AD259" s="27"/>
      <c r="AE259" s="31">
        <f>73.06</f>
        <v>73.06</v>
      </c>
      <c r="AF259" s="31"/>
      <c r="AG259" s="31"/>
    </row>
    <row r="260" spans="1:33" s="1" customFormat="1" ht="18.75" customHeight="1">
      <c r="A260" s="24" t="s">
        <v>2733</v>
      </c>
      <c r="B260" s="25" t="s">
        <v>2734</v>
      </c>
      <c r="C260" s="25"/>
      <c r="D260" s="25"/>
      <c r="E260" s="26" t="s">
        <v>2735</v>
      </c>
      <c r="F260" s="26"/>
      <c r="G260" s="26"/>
      <c r="H260" s="26"/>
      <c r="I260" s="26"/>
      <c r="J260" s="27" t="s">
        <v>2056</v>
      </c>
      <c r="K260" s="27"/>
      <c r="L260" s="27"/>
      <c r="M260" s="27"/>
      <c r="N260" s="28">
        <f>73.06</f>
        <v>73.06</v>
      </c>
      <c r="O260" s="28"/>
      <c r="P260" s="28"/>
      <c r="Q260" s="27" t="s">
        <v>2032</v>
      </c>
      <c r="R260" s="27"/>
      <c r="S260" s="29" t="s">
        <v>2032</v>
      </c>
      <c r="T260" s="29"/>
      <c r="U260" s="29"/>
      <c r="V260" s="29"/>
      <c r="W260" s="30" t="s">
        <v>2032</v>
      </c>
      <c r="X260" s="29" t="s">
        <v>2032</v>
      </c>
      <c r="Y260" s="29"/>
      <c r="Z260" s="29"/>
      <c r="AA260" s="29"/>
      <c r="AB260" s="27" t="s">
        <v>2056</v>
      </c>
      <c r="AC260" s="27"/>
      <c r="AD260" s="27"/>
      <c r="AE260" s="31">
        <f>73.06</f>
        <v>73.06</v>
      </c>
      <c r="AF260" s="31"/>
      <c r="AG260" s="31"/>
    </row>
    <row r="261" spans="1:33" s="1" customFormat="1" ht="18.75" customHeight="1">
      <c r="A261" s="24" t="s">
        <v>2736</v>
      </c>
      <c r="B261" s="25" t="s">
        <v>2737</v>
      </c>
      <c r="C261" s="25"/>
      <c r="D261" s="25"/>
      <c r="E261" s="26" t="s">
        <v>2738</v>
      </c>
      <c r="F261" s="26"/>
      <c r="G261" s="26"/>
      <c r="H261" s="26"/>
      <c r="I261" s="26"/>
      <c r="J261" s="27" t="s">
        <v>2057</v>
      </c>
      <c r="K261" s="27"/>
      <c r="L261" s="27"/>
      <c r="M261" s="27"/>
      <c r="N261" s="28">
        <f>292.26</f>
        <v>292.26</v>
      </c>
      <c r="O261" s="28"/>
      <c r="P261" s="28"/>
      <c r="Q261" s="27" t="s">
        <v>2032</v>
      </c>
      <c r="R261" s="27"/>
      <c r="S261" s="29" t="s">
        <v>2032</v>
      </c>
      <c r="T261" s="29"/>
      <c r="U261" s="29"/>
      <c r="V261" s="29"/>
      <c r="W261" s="30" t="s">
        <v>2032</v>
      </c>
      <c r="X261" s="29" t="s">
        <v>2032</v>
      </c>
      <c r="Y261" s="29"/>
      <c r="Z261" s="29"/>
      <c r="AA261" s="29"/>
      <c r="AB261" s="27" t="s">
        <v>2057</v>
      </c>
      <c r="AC261" s="27"/>
      <c r="AD261" s="27"/>
      <c r="AE261" s="31">
        <f>292.26</f>
        <v>292.26</v>
      </c>
      <c r="AF261" s="31"/>
      <c r="AG261" s="31"/>
    </row>
    <row r="262" spans="1:33" s="1" customFormat="1" ht="18.75" customHeight="1">
      <c r="A262" s="24" t="s">
        <v>2739</v>
      </c>
      <c r="B262" s="25" t="s">
        <v>2740</v>
      </c>
      <c r="C262" s="25"/>
      <c r="D262" s="25"/>
      <c r="E262" s="26" t="s">
        <v>2741</v>
      </c>
      <c r="F262" s="26"/>
      <c r="G262" s="26"/>
      <c r="H262" s="26"/>
      <c r="I262" s="26"/>
      <c r="J262" s="27" t="s">
        <v>2057</v>
      </c>
      <c r="K262" s="27"/>
      <c r="L262" s="27"/>
      <c r="M262" s="27"/>
      <c r="N262" s="28">
        <f>146.12</f>
        <v>146.12</v>
      </c>
      <c r="O262" s="28"/>
      <c r="P262" s="28"/>
      <c r="Q262" s="27" t="s">
        <v>2032</v>
      </c>
      <c r="R262" s="27"/>
      <c r="S262" s="29" t="s">
        <v>2032</v>
      </c>
      <c r="T262" s="29"/>
      <c r="U262" s="29"/>
      <c r="V262" s="29"/>
      <c r="W262" s="30" t="s">
        <v>2032</v>
      </c>
      <c r="X262" s="29" t="s">
        <v>2032</v>
      </c>
      <c r="Y262" s="29"/>
      <c r="Z262" s="29"/>
      <c r="AA262" s="29"/>
      <c r="AB262" s="27" t="s">
        <v>2057</v>
      </c>
      <c r="AC262" s="27"/>
      <c r="AD262" s="27"/>
      <c r="AE262" s="31">
        <f>146.12</f>
        <v>146.12</v>
      </c>
      <c r="AF262" s="31"/>
      <c r="AG262" s="31"/>
    </row>
    <row r="263" spans="1:33" s="1" customFormat="1" ht="33" customHeight="1">
      <c r="A263" s="24" t="s">
        <v>2742</v>
      </c>
      <c r="B263" s="25" t="s">
        <v>2743</v>
      </c>
      <c r="C263" s="25"/>
      <c r="D263" s="25"/>
      <c r="E263" s="26" t="s">
        <v>2744</v>
      </c>
      <c r="F263" s="26"/>
      <c r="G263" s="26"/>
      <c r="H263" s="26"/>
      <c r="I263" s="26"/>
      <c r="J263" s="27" t="s">
        <v>2060</v>
      </c>
      <c r="K263" s="27"/>
      <c r="L263" s="27"/>
      <c r="M263" s="27"/>
      <c r="N263" s="28">
        <f>365.3</f>
        <v>365.3</v>
      </c>
      <c r="O263" s="28"/>
      <c r="P263" s="28"/>
      <c r="Q263" s="27" t="s">
        <v>2032</v>
      </c>
      <c r="R263" s="27"/>
      <c r="S263" s="29" t="s">
        <v>2032</v>
      </c>
      <c r="T263" s="29"/>
      <c r="U263" s="29"/>
      <c r="V263" s="29"/>
      <c r="W263" s="30" t="s">
        <v>2032</v>
      </c>
      <c r="X263" s="29" t="s">
        <v>2032</v>
      </c>
      <c r="Y263" s="29"/>
      <c r="Z263" s="29"/>
      <c r="AA263" s="29"/>
      <c r="AB263" s="27" t="s">
        <v>2060</v>
      </c>
      <c r="AC263" s="27"/>
      <c r="AD263" s="27"/>
      <c r="AE263" s="31">
        <f>365.3</f>
        <v>365.3</v>
      </c>
      <c r="AF263" s="31"/>
      <c r="AG263" s="31"/>
    </row>
    <row r="264" spans="1:33" s="1" customFormat="1" ht="18.75" customHeight="1">
      <c r="A264" s="24" t="s">
        <v>2745</v>
      </c>
      <c r="B264" s="25" t="s">
        <v>2746</v>
      </c>
      <c r="C264" s="25"/>
      <c r="D264" s="25"/>
      <c r="E264" s="26" t="s">
        <v>2747</v>
      </c>
      <c r="F264" s="26"/>
      <c r="G264" s="26"/>
      <c r="H264" s="26"/>
      <c r="I264" s="26"/>
      <c r="J264" s="27" t="s">
        <v>2093</v>
      </c>
      <c r="K264" s="27"/>
      <c r="L264" s="27"/>
      <c r="M264" s="27"/>
      <c r="N264" s="28">
        <f>5752.5</f>
        <v>5752.5</v>
      </c>
      <c r="O264" s="28"/>
      <c r="P264" s="28"/>
      <c r="Q264" s="27" t="s">
        <v>2032</v>
      </c>
      <c r="R264" s="27"/>
      <c r="S264" s="29" t="s">
        <v>2032</v>
      </c>
      <c r="T264" s="29"/>
      <c r="U264" s="29"/>
      <c r="V264" s="29"/>
      <c r="W264" s="30" t="s">
        <v>2032</v>
      </c>
      <c r="X264" s="29" t="s">
        <v>2032</v>
      </c>
      <c r="Y264" s="29"/>
      <c r="Z264" s="29"/>
      <c r="AA264" s="29"/>
      <c r="AB264" s="27" t="s">
        <v>2093</v>
      </c>
      <c r="AC264" s="27"/>
      <c r="AD264" s="27"/>
      <c r="AE264" s="31">
        <f>5752.5</f>
        <v>5752.5</v>
      </c>
      <c r="AF264" s="31"/>
      <c r="AG264" s="31"/>
    </row>
    <row r="265" spans="1:33" s="1" customFormat="1" ht="18.75" customHeight="1">
      <c r="A265" s="24" t="s">
        <v>2748</v>
      </c>
      <c r="B265" s="25" t="s">
        <v>2749</v>
      </c>
      <c r="C265" s="25"/>
      <c r="D265" s="25"/>
      <c r="E265" s="26" t="s">
        <v>2750</v>
      </c>
      <c r="F265" s="26"/>
      <c r="G265" s="26"/>
      <c r="H265" s="26"/>
      <c r="I265" s="26"/>
      <c r="J265" s="27" t="s">
        <v>2065</v>
      </c>
      <c r="K265" s="27"/>
      <c r="L265" s="27"/>
      <c r="M265" s="27"/>
      <c r="N265" s="28">
        <f>730.6</f>
        <v>730.6</v>
      </c>
      <c r="O265" s="28"/>
      <c r="P265" s="28"/>
      <c r="Q265" s="27" t="s">
        <v>2032</v>
      </c>
      <c r="R265" s="27"/>
      <c r="S265" s="29" t="s">
        <v>2032</v>
      </c>
      <c r="T265" s="29"/>
      <c r="U265" s="29"/>
      <c r="V265" s="29"/>
      <c r="W265" s="30" t="s">
        <v>2032</v>
      </c>
      <c r="X265" s="29" t="s">
        <v>2032</v>
      </c>
      <c r="Y265" s="29"/>
      <c r="Z265" s="29"/>
      <c r="AA265" s="29"/>
      <c r="AB265" s="27" t="s">
        <v>2065</v>
      </c>
      <c r="AC265" s="27"/>
      <c r="AD265" s="27"/>
      <c r="AE265" s="31">
        <f>730.6</f>
        <v>730.6</v>
      </c>
      <c r="AF265" s="31"/>
      <c r="AG265" s="31"/>
    </row>
    <row r="266" spans="1:33" s="1" customFormat="1" ht="18.75" customHeight="1">
      <c r="A266" s="24" t="s">
        <v>2751</v>
      </c>
      <c r="B266" s="25" t="s">
        <v>2752</v>
      </c>
      <c r="C266" s="25"/>
      <c r="D266" s="25"/>
      <c r="E266" s="26" t="s">
        <v>2753</v>
      </c>
      <c r="F266" s="26"/>
      <c r="G266" s="26"/>
      <c r="H266" s="26"/>
      <c r="I266" s="26"/>
      <c r="J266" s="27" t="s">
        <v>2059</v>
      </c>
      <c r="K266" s="27"/>
      <c r="L266" s="27"/>
      <c r="M266" s="27"/>
      <c r="N266" s="28">
        <f>292.24</f>
        <v>292.24</v>
      </c>
      <c r="O266" s="28"/>
      <c r="P266" s="28"/>
      <c r="Q266" s="27" t="s">
        <v>2032</v>
      </c>
      <c r="R266" s="27"/>
      <c r="S266" s="29" t="s">
        <v>2032</v>
      </c>
      <c r="T266" s="29"/>
      <c r="U266" s="29"/>
      <c r="V266" s="29"/>
      <c r="W266" s="30" t="s">
        <v>2032</v>
      </c>
      <c r="X266" s="29" t="s">
        <v>2032</v>
      </c>
      <c r="Y266" s="29"/>
      <c r="Z266" s="29"/>
      <c r="AA266" s="29"/>
      <c r="AB266" s="27" t="s">
        <v>2059</v>
      </c>
      <c r="AC266" s="27"/>
      <c r="AD266" s="27"/>
      <c r="AE266" s="31">
        <f>292.24</f>
        <v>292.24</v>
      </c>
      <c r="AF266" s="31"/>
      <c r="AG266" s="31"/>
    </row>
    <row r="267" spans="1:33" s="1" customFormat="1" ht="33" customHeight="1">
      <c r="A267" s="24" t="s">
        <v>2754</v>
      </c>
      <c r="B267" s="25" t="s">
        <v>2755</v>
      </c>
      <c r="C267" s="25"/>
      <c r="D267" s="25"/>
      <c r="E267" s="26" t="s">
        <v>2756</v>
      </c>
      <c r="F267" s="26"/>
      <c r="G267" s="26"/>
      <c r="H267" s="26"/>
      <c r="I267" s="26"/>
      <c r="J267" s="27" t="s">
        <v>2056</v>
      </c>
      <c r="K267" s="27"/>
      <c r="L267" s="27"/>
      <c r="M267" s="27"/>
      <c r="N267" s="28">
        <f>325</f>
        <v>325</v>
      </c>
      <c r="O267" s="28"/>
      <c r="P267" s="28"/>
      <c r="Q267" s="27" t="s">
        <v>2032</v>
      </c>
      <c r="R267" s="27"/>
      <c r="S267" s="29" t="s">
        <v>2032</v>
      </c>
      <c r="T267" s="29"/>
      <c r="U267" s="29"/>
      <c r="V267" s="29"/>
      <c r="W267" s="30" t="s">
        <v>2032</v>
      </c>
      <c r="X267" s="29" t="s">
        <v>2032</v>
      </c>
      <c r="Y267" s="29"/>
      <c r="Z267" s="29"/>
      <c r="AA267" s="29"/>
      <c r="AB267" s="27" t="s">
        <v>2056</v>
      </c>
      <c r="AC267" s="27"/>
      <c r="AD267" s="27"/>
      <c r="AE267" s="31">
        <f>325</f>
        <v>325</v>
      </c>
      <c r="AF267" s="31"/>
      <c r="AG267" s="31"/>
    </row>
    <row r="268" spans="1:33" s="1" customFormat="1" ht="33" customHeight="1">
      <c r="A268" s="24" t="s">
        <v>2757</v>
      </c>
      <c r="B268" s="25" t="s">
        <v>2758</v>
      </c>
      <c r="C268" s="25"/>
      <c r="D268" s="25"/>
      <c r="E268" s="26" t="s">
        <v>2759</v>
      </c>
      <c r="F268" s="26"/>
      <c r="G268" s="26"/>
      <c r="H268" s="26"/>
      <c r="I268" s="26"/>
      <c r="J268" s="27" t="s">
        <v>2108</v>
      </c>
      <c r="K268" s="27"/>
      <c r="L268" s="27"/>
      <c r="M268" s="27"/>
      <c r="N268" s="28">
        <f>44000</f>
        <v>44000</v>
      </c>
      <c r="O268" s="28"/>
      <c r="P268" s="28"/>
      <c r="Q268" s="27" t="s">
        <v>2032</v>
      </c>
      <c r="R268" s="27"/>
      <c r="S268" s="29" t="s">
        <v>2032</v>
      </c>
      <c r="T268" s="29"/>
      <c r="U268" s="29"/>
      <c r="V268" s="29"/>
      <c r="W268" s="30" t="s">
        <v>2032</v>
      </c>
      <c r="X268" s="29" t="s">
        <v>2032</v>
      </c>
      <c r="Y268" s="29"/>
      <c r="Z268" s="29"/>
      <c r="AA268" s="29"/>
      <c r="AB268" s="27" t="s">
        <v>2108</v>
      </c>
      <c r="AC268" s="27"/>
      <c r="AD268" s="27"/>
      <c r="AE268" s="31">
        <f>44000</f>
        <v>44000</v>
      </c>
      <c r="AF268" s="31"/>
      <c r="AG268" s="31"/>
    </row>
    <row r="269" spans="1:33" s="1" customFormat="1" ht="33" customHeight="1">
      <c r="A269" s="24" t="s">
        <v>2760</v>
      </c>
      <c r="B269" s="25" t="s">
        <v>2761</v>
      </c>
      <c r="C269" s="25"/>
      <c r="D269" s="25"/>
      <c r="E269" s="26" t="s">
        <v>2762</v>
      </c>
      <c r="F269" s="26"/>
      <c r="G269" s="26"/>
      <c r="H269" s="26"/>
      <c r="I269" s="26"/>
      <c r="J269" s="27" t="s">
        <v>2056</v>
      </c>
      <c r="K269" s="27"/>
      <c r="L269" s="27"/>
      <c r="M269" s="27"/>
      <c r="N269" s="28">
        <f>1600</f>
        <v>1600</v>
      </c>
      <c r="O269" s="28"/>
      <c r="P269" s="28"/>
      <c r="Q269" s="27" t="s">
        <v>2032</v>
      </c>
      <c r="R269" s="27"/>
      <c r="S269" s="29" t="s">
        <v>2032</v>
      </c>
      <c r="T269" s="29"/>
      <c r="U269" s="29"/>
      <c r="V269" s="29"/>
      <c r="W269" s="30" t="s">
        <v>2032</v>
      </c>
      <c r="X269" s="29" t="s">
        <v>2032</v>
      </c>
      <c r="Y269" s="29"/>
      <c r="Z269" s="29"/>
      <c r="AA269" s="29"/>
      <c r="AB269" s="27" t="s">
        <v>2056</v>
      </c>
      <c r="AC269" s="27"/>
      <c r="AD269" s="27"/>
      <c r="AE269" s="31">
        <f>1600</f>
        <v>1600</v>
      </c>
      <c r="AF269" s="31"/>
      <c r="AG269" s="31"/>
    </row>
    <row r="270" spans="1:33" s="1" customFormat="1" ht="18.75" customHeight="1">
      <c r="A270" s="24" t="s">
        <v>2763</v>
      </c>
      <c r="B270" s="25" t="s">
        <v>2764</v>
      </c>
      <c r="C270" s="25"/>
      <c r="D270" s="25"/>
      <c r="E270" s="26" t="s">
        <v>2765</v>
      </c>
      <c r="F270" s="26"/>
      <c r="G270" s="26"/>
      <c r="H270" s="26"/>
      <c r="I270" s="26"/>
      <c r="J270" s="27" t="s">
        <v>2056</v>
      </c>
      <c r="K270" s="27"/>
      <c r="L270" s="27"/>
      <c r="M270" s="27"/>
      <c r="N270" s="28">
        <f>162.91</f>
        <v>162.91</v>
      </c>
      <c r="O270" s="28"/>
      <c r="P270" s="28"/>
      <c r="Q270" s="27" t="s">
        <v>2032</v>
      </c>
      <c r="R270" s="27"/>
      <c r="S270" s="29" t="s">
        <v>2032</v>
      </c>
      <c r="T270" s="29"/>
      <c r="U270" s="29"/>
      <c r="V270" s="29"/>
      <c r="W270" s="30" t="s">
        <v>2032</v>
      </c>
      <c r="X270" s="29" t="s">
        <v>2032</v>
      </c>
      <c r="Y270" s="29"/>
      <c r="Z270" s="29"/>
      <c r="AA270" s="29"/>
      <c r="AB270" s="27" t="s">
        <v>2056</v>
      </c>
      <c r="AC270" s="27"/>
      <c r="AD270" s="27"/>
      <c r="AE270" s="31">
        <f>162.91</f>
        <v>162.91</v>
      </c>
      <c r="AF270" s="31"/>
      <c r="AG270" s="31"/>
    </row>
    <row r="271" spans="1:33" s="1" customFormat="1" ht="18.75" customHeight="1">
      <c r="A271" s="24" t="s">
        <v>2766</v>
      </c>
      <c r="B271" s="25" t="s">
        <v>2767</v>
      </c>
      <c r="C271" s="25"/>
      <c r="D271" s="25"/>
      <c r="E271" s="26" t="s">
        <v>2768</v>
      </c>
      <c r="F271" s="26"/>
      <c r="G271" s="26"/>
      <c r="H271" s="26"/>
      <c r="I271" s="26"/>
      <c r="J271" s="27" t="s">
        <v>2056</v>
      </c>
      <c r="K271" s="27"/>
      <c r="L271" s="27"/>
      <c r="M271" s="27"/>
      <c r="N271" s="28">
        <f>325</f>
        <v>325</v>
      </c>
      <c r="O271" s="28"/>
      <c r="P271" s="28"/>
      <c r="Q271" s="27" t="s">
        <v>2032</v>
      </c>
      <c r="R271" s="27"/>
      <c r="S271" s="29" t="s">
        <v>2032</v>
      </c>
      <c r="T271" s="29"/>
      <c r="U271" s="29"/>
      <c r="V271" s="29"/>
      <c r="W271" s="30" t="s">
        <v>2032</v>
      </c>
      <c r="X271" s="29" t="s">
        <v>2032</v>
      </c>
      <c r="Y271" s="29"/>
      <c r="Z271" s="29"/>
      <c r="AA271" s="29"/>
      <c r="AB271" s="27" t="s">
        <v>2056</v>
      </c>
      <c r="AC271" s="27"/>
      <c r="AD271" s="27"/>
      <c r="AE271" s="31">
        <f>325</f>
        <v>325</v>
      </c>
      <c r="AF271" s="31"/>
      <c r="AG271" s="31"/>
    </row>
    <row r="272" spans="1:33" s="1" customFormat="1" ht="46.5" customHeight="1">
      <c r="A272" s="24" t="s">
        <v>2769</v>
      </c>
      <c r="B272" s="25" t="s">
        <v>2770</v>
      </c>
      <c r="C272" s="25"/>
      <c r="D272" s="25"/>
      <c r="E272" s="26" t="s">
        <v>2771</v>
      </c>
      <c r="F272" s="26"/>
      <c r="G272" s="26"/>
      <c r="H272" s="26"/>
      <c r="I272" s="26"/>
      <c r="J272" s="27" t="s">
        <v>2056</v>
      </c>
      <c r="K272" s="27"/>
      <c r="L272" s="27"/>
      <c r="M272" s="27"/>
      <c r="N272" s="28">
        <f>325</f>
        <v>325</v>
      </c>
      <c r="O272" s="28"/>
      <c r="P272" s="28"/>
      <c r="Q272" s="27" t="s">
        <v>2032</v>
      </c>
      <c r="R272" s="27"/>
      <c r="S272" s="29" t="s">
        <v>2032</v>
      </c>
      <c r="T272" s="29"/>
      <c r="U272" s="29"/>
      <c r="V272" s="29"/>
      <c r="W272" s="30" t="s">
        <v>2032</v>
      </c>
      <c r="X272" s="29" t="s">
        <v>2032</v>
      </c>
      <c r="Y272" s="29"/>
      <c r="Z272" s="29"/>
      <c r="AA272" s="29"/>
      <c r="AB272" s="27" t="s">
        <v>2056</v>
      </c>
      <c r="AC272" s="27"/>
      <c r="AD272" s="27"/>
      <c r="AE272" s="31">
        <f>325</f>
        <v>325</v>
      </c>
      <c r="AF272" s="31"/>
      <c r="AG272" s="31"/>
    </row>
    <row r="273" spans="1:33" s="1" customFormat="1" ht="18.75" customHeight="1">
      <c r="A273" s="24" t="s">
        <v>2772</v>
      </c>
      <c r="B273" s="25" t="s">
        <v>2773</v>
      </c>
      <c r="C273" s="25"/>
      <c r="D273" s="25"/>
      <c r="E273" s="26" t="s">
        <v>2774</v>
      </c>
      <c r="F273" s="26"/>
      <c r="G273" s="26"/>
      <c r="H273" s="26"/>
      <c r="I273" s="26"/>
      <c r="J273" s="27" t="s">
        <v>2056</v>
      </c>
      <c r="K273" s="27"/>
      <c r="L273" s="27"/>
      <c r="M273" s="27"/>
      <c r="N273" s="28">
        <f>325</f>
        <v>325</v>
      </c>
      <c r="O273" s="28"/>
      <c r="P273" s="28"/>
      <c r="Q273" s="27" t="s">
        <v>2032</v>
      </c>
      <c r="R273" s="27"/>
      <c r="S273" s="29" t="s">
        <v>2032</v>
      </c>
      <c r="T273" s="29"/>
      <c r="U273" s="29"/>
      <c r="V273" s="29"/>
      <c r="W273" s="30" t="s">
        <v>2032</v>
      </c>
      <c r="X273" s="29" t="s">
        <v>2032</v>
      </c>
      <c r="Y273" s="29"/>
      <c r="Z273" s="29"/>
      <c r="AA273" s="29"/>
      <c r="AB273" s="27" t="s">
        <v>2056</v>
      </c>
      <c r="AC273" s="27"/>
      <c r="AD273" s="27"/>
      <c r="AE273" s="31">
        <f>325</f>
        <v>325</v>
      </c>
      <c r="AF273" s="31"/>
      <c r="AG273" s="31"/>
    </row>
    <row r="274" spans="1:33" s="1" customFormat="1" ht="18.75" customHeight="1">
      <c r="A274" s="24" t="s">
        <v>2775</v>
      </c>
      <c r="B274" s="25" t="s">
        <v>2776</v>
      </c>
      <c r="C274" s="25"/>
      <c r="D274" s="25"/>
      <c r="E274" s="26" t="s">
        <v>2777</v>
      </c>
      <c r="F274" s="26"/>
      <c r="G274" s="26"/>
      <c r="H274" s="26"/>
      <c r="I274" s="26"/>
      <c r="J274" s="27" t="s">
        <v>2061</v>
      </c>
      <c r="K274" s="27"/>
      <c r="L274" s="27"/>
      <c r="M274" s="27"/>
      <c r="N274" s="28">
        <f>10320</f>
        <v>10320</v>
      </c>
      <c r="O274" s="28"/>
      <c r="P274" s="28"/>
      <c r="Q274" s="27" t="s">
        <v>2032</v>
      </c>
      <c r="R274" s="27"/>
      <c r="S274" s="29" t="s">
        <v>2032</v>
      </c>
      <c r="T274" s="29"/>
      <c r="U274" s="29"/>
      <c r="V274" s="29"/>
      <c r="W274" s="30" t="s">
        <v>2032</v>
      </c>
      <c r="X274" s="29" t="s">
        <v>2032</v>
      </c>
      <c r="Y274" s="29"/>
      <c r="Z274" s="29"/>
      <c r="AA274" s="29"/>
      <c r="AB274" s="27" t="s">
        <v>2061</v>
      </c>
      <c r="AC274" s="27"/>
      <c r="AD274" s="27"/>
      <c r="AE274" s="31">
        <f>10320</f>
        <v>10320</v>
      </c>
      <c r="AF274" s="31"/>
      <c r="AG274" s="31"/>
    </row>
    <row r="275" spans="1:33" s="1" customFormat="1" ht="18.75" customHeight="1">
      <c r="A275" s="24" t="s">
        <v>2778</v>
      </c>
      <c r="B275" s="25" t="s">
        <v>2779</v>
      </c>
      <c r="C275" s="25"/>
      <c r="D275" s="25"/>
      <c r="E275" s="26" t="s">
        <v>2780</v>
      </c>
      <c r="F275" s="26"/>
      <c r="G275" s="26"/>
      <c r="H275" s="26"/>
      <c r="I275" s="26"/>
      <c r="J275" s="27" t="s">
        <v>2093</v>
      </c>
      <c r="K275" s="27"/>
      <c r="L275" s="27"/>
      <c r="M275" s="27"/>
      <c r="N275" s="28">
        <f>25800</f>
        <v>25800</v>
      </c>
      <c r="O275" s="28"/>
      <c r="P275" s="28"/>
      <c r="Q275" s="27" t="s">
        <v>2032</v>
      </c>
      <c r="R275" s="27"/>
      <c r="S275" s="29" t="s">
        <v>2032</v>
      </c>
      <c r="T275" s="29"/>
      <c r="U275" s="29"/>
      <c r="V275" s="29"/>
      <c r="W275" s="30" t="s">
        <v>2032</v>
      </c>
      <c r="X275" s="29" t="s">
        <v>2032</v>
      </c>
      <c r="Y275" s="29"/>
      <c r="Z275" s="29"/>
      <c r="AA275" s="29"/>
      <c r="AB275" s="27" t="s">
        <v>2093</v>
      </c>
      <c r="AC275" s="27"/>
      <c r="AD275" s="27"/>
      <c r="AE275" s="31">
        <f>25800</f>
        <v>25800</v>
      </c>
      <c r="AF275" s="31"/>
      <c r="AG275" s="31"/>
    </row>
    <row r="276" spans="1:33" s="1" customFormat="1" ht="18.75" customHeight="1">
      <c r="A276" s="24" t="s">
        <v>2781</v>
      </c>
      <c r="B276" s="25" t="s">
        <v>2782</v>
      </c>
      <c r="C276" s="25"/>
      <c r="D276" s="25"/>
      <c r="E276" s="26" t="s">
        <v>2783</v>
      </c>
      <c r="F276" s="26"/>
      <c r="G276" s="26"/>
      <c r="H276" s="26"/>
      <c r="I276" s="26"/>
      <c r="J276" s="27" t="s">
        <v>2057</v>
      </c>
      <c r="K276" s="27"/>
      <c r="L276" s="27"/>
      <c r="M276" s="27"/>
      <c r="N276" s="28">
        <f>146.12</f>
        <v>146.12</v>
      </c>
      <c r="O276" s="28"/>
      <c r="P276" s="28"/>
      <c r="Q276" s="27" t="s">
        <v>2032</v>
      </c>
      <c r="R276" s="27"/>
      <c r="S276" s="29" t="s">
        <v>2032</v>
      </c>
      <c r="T276" s="29"/>
      <c r="U276" s="29"/>
      <c r="V276" s="29"/>
      <c r="W276" s="30" t="s">
        <v>2032</v>
      </c>
      <c r="X276" s="29" t="s">
        <v>2032</v>
      </c>
      <c r="Y276" s="29"/>
      <c r="Z276" s="29"/>
      <c r="AA276" s="29"/>
      <c r="AB276" s="27" t="s">
        <v>2057</v>
      </c>
      <c r="AC276" s="27"/>
      <c r="AD276" s="27"/>
      <c r="AE276" s="31">
        <f>146.12</f>
        <v>146.12</v>
      </c>
      <c r="AF276" s="31"/>
      <c r="AG276" s="31"/>
    </row>
    <row r="277" spans="1:33" s="1" customFormat="1" ht="18.75" customHeight="1">
      <c r="A277" s="24" t="s">
        <v>2784</v>
      </c>
      <c r="B277" s="25" t="s">
        <v>2785</v>
      </c>
      <c r="C277" s="25"/>
      <c r="D277" s="25"/>
      <c r="E277" s="26" t="s">
        <v>2786</v>
      </c>
      <c r="F277" s="26"/>
      <c r="G277" s="26"/>
      <c r="H277" s="26"/>
      <c r="I277" s="26"/>
      <c r="J277" s="27" t="s">
        <v>2056</v>
      </c>
      <c r="K277" s="27"/>
      <c r="L277" s="27"/>
      <c r="M277" s="27"/>
      <c r="N277" s="28">
        <f>622</f>
        <v>622</v>
      </c>
      <c r="O277" s="28"/>
      <c r="P277" s="28"/>
      <c r="Q277" s="27" t="s">
        <v>2032</v>
      </c>
      <c r="R277" s="27"/>
      <c r="S277" s="29" t="s">
        <v>2032</v>
      </c>
      <c r="T277" s="29"/>
      <c r="U277" s="29"/>
      <c r="V277" s="29"/>
      <c r="W277" s="30" t="s">
        <v>2032</v>
      </c>
      <c r="X277" s="29" t="s">
        <v>2032</v>
      </c>
      <c r="Y277" s="29"/>
      <c r="Z277" s="29"/>
      <c r="AA277" s="29"/>
      <c r="AB277" s="27" t="s">
        <v>2056</v>
      </c>
      <c r="AC277" s="27"/>
      <c r="AD277" s="27"/>
      <c r="AE277" s="31">
        <f>622</f>
        <v>622</v>
      </c>
      <c r="AF277" s="31"/>
      <c r="AG277" s="31"/>
    </row>
    <row r="278" spans="1:33" s="1" customFormat="1" ht="18.75" customHeight="1">
      <c r="A278" s="24" t="s">
        <v>2787</v>
      </c>
      <c r="B278" s="25" t="s">
        <v>2788</v>
      </c>
      <c r="C278" s="25"/>
      <c r="D278" s="25"/>
      <c r="E278" s="26" t="s">
        <v>2789</v>
      </c>
      <c r="F278" s="26"/>
      <c r="G278" s="26"/>
      <c r="H278" s="26"/>
      <c r="I278" s="26"/>
      <c r="J278" s="27" t="s">
        <v>2056</v>
      </c>
      <c r="K278" s="27"/>
      <c r="L278" s="27"/>
      <c r="M278" s="27"/>
      <c r="N278" s="28">
        <f>73.06</f>
        <v>73.06</v>
      </c>
      <c r="O278" s="28"/>
      <c r="P278" s="28"/>
      <c r="Q278" s="27" t="s">
        <v>2032</v>
      </c>
      <c r="R278" s="27"/>
      <c r="S278" s="29" t="s">
        <v>2032</v>
      </c>
      <c r="T278" s="29"/>
      <c r="U278" s="29"/>
      <c r="V278" s="29"/>
      <c r="W278" s="30" t="s">
        <v>2032</v>
      </c>
      <c r="X278" s="29" t="s">
        <v>2032</v>
      </c>
      <c r="Y278" s="29"/>
      <c r="Z278" s="29"/>
      <c r="AA278" s="29"/>
      <c r="AB278" s="27" t="s">
        <v>2056</v>
      </c>
      <c r="AC278" s="27"/>
      <c r="AD278" s="27"/>
      <c r="AE278" s="31">
        <f>73.06</f>
        <v>73.06</v>
      </c>
      <c r="AF278" s="31"/>
      <c r="AG278" s="31"/>
    </row>
    <row r="279" spans="1:33" s="1" customFormat="1" ht="33" customHeight="1">
      <c r="A279" s="24" t="s">
        <v>2790</v>
      </c>
      <c r="B279" s="25" t="s">
        <v>2791</v>
      </c>
      <c r="C279" s="25"/>
      <c r="D279" s="25"/>
      <c r="E279" s="26" t="s">
        <v>2792</v>
      </c>
      <c r="F279" s="26"/>
      <c r="G279" s="26"/>
      <c r="H279" s="26"/>
      <c r="I279" s="26"/>
      <c r="J279" s="27" t="s">
        <v>2056</v>
      </c>
      <c r="K279" s="27"/>
      <c r="L279" s="27"/>
      <c r="M279" s="27"/>
      <c r="N279" s="28">
        <f>552.24</f>
        <v>552.24</v>
      </c>
      <c r="O279" s="28"/>
      <c r="P279" s="28"/>
      <c r="Q279" s="27" t="s">
        <v>2032</v>
      </c>
      <c r="R279" s="27"/>
      <c r="S279" s="29" t="s">
        <v>2032</v>
      </c>
      <c r="T279" s="29"/>
      <c r="U279" s="29"/>
      <c r="V279" s="29"/>
      <c r="W279" s="30" t="s">
        <v>2032</v>
      </c>
      <c r="X279" s="29" t="s">
        <v>2032</v>
      </c>
      <c r="Y279" s="29"/>
      <c r="Z279" s="29"/>
      <c r="AA279" s="29"/>
      <c r="AB279" s="27" t="s">
        <v>2056</v>
      </c>
      <c r="AC279" s="27"/>
      <c r="AD279" s="27"/>
      <c r="AE279" s="31">
        <f>552.24</f>
        <v>552.24</v>
      </c>
      <c r="AF279" s="31"/>
      <c r="AG279" s="31"/>
    </row>
    <row r="280" spans="1:33" s="1" customFormat="1" ht="18.75" customHeight="1">
      <c r="A280" s="24" t="s">
        <v>2793</v>
      </c>
      <c r="B280" s="25" t="s">
        <v>2794</v>
      </c>
      <c r="C280" s="25"/>
      <c r="D280" s="25"/>
      <c r="E280" s="26" t="s">
        <v>2795</v>
      </c>
      <c r="F280" s="26"/>
      <c r="G280" s="26"/>
      <c r="H280" s="26"/>
      <c r="I280" s="26"/>
      <c r="J280" s="27" t="s">
        <v>2056</v>
      </c>
      <c r="K280" s="27"/>
      <c r="L280" s="27"/>
      <c r="M280" s="27"/>
      <c r="N280" s="28">
        <f>146.13</f>
        <v>146.13</v>
      </c>
      <c r="O280" s="28"/>
      <c r="P280" s="28"/>
      <c r="Q280" s="27" t="s">
        <v>2032</v>
      </c>
      <c r="R280" s="27"/>
      <c r="S280" s="29" t="s">
        <v>2032</v>
      </c>
      <c r="T280" s="29"/>
      <c r="U280" s="29"/>
      <c r="V280" s="29"/>
      <c r="W280" s="30" t="s">
        <v>2032</v>
      </c>
      <c r="X280" s="29" t="s">
        <v>2032</v>
      </c>
      <c r="Y280" s="29"/>
      <c r="Z280" s="29"/>
      <c r="AA280" s="29"/>
      <c r="AB280" s="27" t="s">
        <v>2056</v>
      </c>
      <c r="AC280" s="27"/>
      <c r="AD280" s="27"/>
      <c r="AE280" s="31">
        <f>146.13</f>
        <v>146.13</v>
      </c>
      <c r="AF280" s="31"/>
      <c r="AG280" s="31"/>
    </row>
    <row r="281" spans="1:33" s="1" customFormat="1" ht="18.75" customHeight="1">
      <c r="A281" s="24" t="s">
        <v>2796</v>
      </c>
      <c r="B281" s="25" t="s">
        <v>2797</v>
      </c>
      <c r="C281" s="25"/>
      <c r="D281" s="25"/>
      <c r="E281" s="26" t="s">
        <v>2798</v>
      </c>
      <c r="F281" s="26"/>
      <c r="G281" s="26"/>
      <c r="H281" s="26"/>
      <c r="I281" s="26"/>
      <c r="J281" s="27" t="s">
        <v>2056</v>
      </c>
      <c r="K281" s="27"/>
      <c r="L281" s="27"/>
      <c r="M281" s="27"/>
      <c r="N281" s="28">
        <f>238.62</f>
        <v>238.62</v>
      </c>
      <c r="O281" s="28"/>
      <c r="P281" s="28"/>
      <c r="Q281" s="27" t="s">
        <v>2032</v>
      </c>
      <c r="R281" s="27"/>
      <c r="S281" s="29" t="s">
        <v>2032</v>
      </c>
      <c r="T281" s="29"/>
      <c r="U281" s="29"/>
      <c r="V281" s="29"/>
      <c r="W281" s="30" t="s">
        <v>2032</v>
      </c>
      <c r="X281" s="29" t="s">
        <v>2032</v>
      </c>
      <c r="Y281" s="29"/>
      <c r="Z281" s="29"/>
      <c r="AA281" s="29"/>
      <c r="AB281" s="27" t="s">
        <v>2056</v>
      </c>
      <c r="AC281" s="27"/>
      <c r="AD281" s="27"/>
      <c r="AE281" s="31">
        <f>238.62</f>
        <v>238.62</v>
      </c>
      <c r="AF281" s="31"/>
      <c r="AG281" s="31"/>
    </row>
    <row r="282" spans="1:33" s="1" customFormat="1" ht="18.75" customHeight="1">
      <c r="A282" s="24" t="s">
        <v>2799</v>
      </c>
      <c r="B282" s="25" t="s">
        <v>2800</v>
      </c>
      <c r="C282" s="25"/>
      <c r="D282" s="25"/>
      <c r="E282" s="26" t="s">
        <v>2801</v>
      </c>
      <c r="F282" s="26"/>
      <c r="G282" s="26"/>
      <c r="H282" s="26"/>
      <c r="I282" s="26"/>
      <c r="J282" s="27" t="s">
        <v>2056</v>
      </c>
      <c r="K282" s="27"/>
      <c r="L282" s="27"/>
      <c r="M282" s="27"/>
      <c r="N282" s="28">
        <f>1500</f>
        <v>1500</v>
      </c>
      <c r="O282" s="28"/>
      <c r="P282" s="28"/>
      <c r="Q282" s="27" t="s">
        <v>2032</v>
      </c>
      <c r="R282" s="27"/>
      <c r="S282" s="29" t="s">
        <v>2032</v>
      </c>
      <c r="T282" s="29"/>
      <c r="U282" s="29"/>
      <c r="V282" s="29"/>
      <c r="W282" s="30" t="s">
        <v>2032</v>
      </c>
      <c r="X282" s="29" t="s">
        <v>2032</v>
      </c>
      <c r="Y282" s="29"/>
      <c r="Z282" s="29"/>
      <c r="AA282" s="29"/>
      <c r="AB282" s="27" t="s">
        <v>2056</v>
      </c>
      <c r="AC282" s="27"/>
      <c r="AD282" s="27"/>
      <c r="AE282" s="31">
        <f>1500</f>
        <v>1500</v>
      </c>
      <c r="AF282" s="31"/>
      <c r="AG282" s="31"/>
    </row>
    <row r="283" spans="1:33" s="1" customFormat="1" ht="18.75" customHeight="1">
      <c r="A283" s="24" t="s">
        <v>2802</v>
      </c>
      <c r="B283" s="25" t="s">
        <v>2803</v>
      </c>
      <c r="C283" s="25"/>
      <c r="D283" s="25"/>
      <c r="E283" s="26" t="s">
        <v>2804</v>
      </c>
      <c r="F283" s="26"/>
      <c r="G283" s="26"/>
      <c r="H283" s="26"/>
      <c r="I283" s="26"/>
      <c r="J283" s="27" t="s">
        <v>2056</v>
      </c>
      <c r="K283" s="27"/>
      <c r="L283" s="27"/>
      <c r="M283" s="27"/>
      <c r="N283" s="28">
        <f>730.64</f>
        <v>730.64</v>
      </c>
      <c r="O283" s="28"/>
      <c r="P283" s="28"/>
      <c r="Q283" s="27" t="s">
        <v>2032</v>
      </c>
      <c r="R283" s="27"/>
      <c r="S283" s="29" t="s">
        <v>2032</v>
      </c>
      <c r="T283" s="29"/>
      <c r="U283" s="29"/>
      <c r="V283" s="29"/>
      <c r="W283" s="30" t="s">
        <v>2032</v>
      </c>
      <c r="X283" s="29" t="s">
        <v>2032</v>
      </c>
      <c r="Y283" s="29"/>
      <c r="Z283" s="29"/>
      <c r="AA283" s="29"/>
      <c r="AB283" s="27" t="s">
        <v>2056</v>
      </c>
      <c r="AC283" s="27"/>
      <c r="AD283" s="27"/>
      <c r="AE283" s="31">
        <f>730.64</f>
        <v>730.64</v>
      </c>
      <c r="AF283" s="31"/>
      <c r="AG283" s="31"/>
    </row>
    <row r="284" spans="1:33" s="1" customFormat="1" ht="18.75" customHeight="1">
      <c r="A284" s="24" t="s">
        <v>2805</v>
      </c>
      <c r="B284" s="25" t="s">
        <v>2806</v>
      </c>
      <c r="C284" s="25"/>
      <c r="D284" s="25"/>
      <c r="E284" s="26" t="s">
        <v>2807</v>
      </c>
      <c r="F284" s="26"/>
      <c r="G284" s="26"/>
      <c r="H284" s="26"/>
      <c r="I284" s="26"/>
      <c r="J284" s="27" t="s">
        <v>2056</v>
      </c>
      <c r="K284" s="27"/>
      <c r="L284" s="27"/>
      <c r="M284" s="27"/>
      <c r="N284" s="28">
        <f>73.06</f>
        <v>73.06</v>
      </c>
      <c r="O284" s="28"/>
      <c r="P284" s="28"/>
      <c r="Q284" s="27" t="s">
        <v>2032</v>
      </c>
      <c r="R284" s="27"/>
      <c r="S284" s="29" t="s">
        <v>2032</v>
      </c>
      <c r="T284" s="29"/>
      <c r="U284" s="29"/>
      <c r="V284" s="29"/>
      <c r="W284" s="30" t="s">
        <v>2032</v>
      </c>
      <c r="X284" s="29" t="s">
        <v>2032</v>
      </c>
      <c r="Y284" s="29"/>
      <c r="Z284" s="29"/>
      <c r="AA284" s="29"/>
      <c r="AB284" s="27" t="s">
        <v>2056</v>
      </c>
      <c r="AC284" s="27"/>
      <c r="AD284" s="27"/>
      <c r="AE284" s="31">
        <f>73.06</f>
        <v>73.06</v>
      </c>
      <c r="AF284" s="31"/>
      <c r="AG284" s="31"/>
    </row>
    <row r="285" spans="1:33" s="1" customFormat="1" ht="46.5" customHeight="1">
      <c r="A285" s="24" t="s">
        <v>2808</v>
      </c>
      <c r="B285" s="25" t="s">
        <v>2809</v>
      </c>
      <c r="C285" s="25"/>
      <c r="D285" s="25"/>
      <c r="E285" s="26" t="s">
        <v>2810</v>
      </c>
      <c r="F285" s="26"/>
      <c r="G285" s="26"/>
      <c r="H285" s="26"/>
      <c r="I285" s="26"/>
      <c r="J285" s="27" t="s">
        <v>2056</v>
      </c>
      <c r="K285" s="27"/>
      <c r="L285" s="27"/>
      <c r="M285" s="27"/>
      <c r="N285" s="28">
        <f>170</f>
        <v>170</v>
      </c>
      <c r="O285" s="28"/>
      <c r="P285" s="28"/>
      <c r="Q285" s="27" t="s">
        <v>2032</v>
      </c>
      <c r="R285" s="27"/>
      <c r="S285" s="29" t="s">
        <v>2032</v>
      </c>
      <c r="T285" s="29"/>
      <c r="U285" s="29"/>
      <c r="V285" s="29"/>
      <c r="W285" s="30" t="s">
        <v>2032</v>
      </c>
      <c r="X285" s="29" t="s">
        <v>2032</v>
      </c>
      <c r="Y285" s="29"/>
      <c r="Z285" s="29"/>
      <c r="AA285" s="29"/>
      <c r="AB285" s="27" t="s">
        <v>2056</v>
      </c>
      <c r="AC285" s="27"/>
      <c r="AD285" s="27"/>
      <c r="AE285" s="31">
        <f>170</f>
        <v>170</v>
      </c>
      <c r="AF285" s="31"/>
      <c r="AG285" s="31"/>
    </row>
    <row r="286" spans="1:33" s="1" customFormat="1" ht="18.75" customHeight="1">
      <c r="A286" s="24" t="s">
        <v>2811</v>
      </c>
      <c r="B286" s="25" t="s">
        <v>2812</v>
      </c>
      <c r="C286" s="25"/>
      <c r="D286" s="25"/>
      <c r="E286" s="26" t="s">
        <v>2813</v>
      </c>
      <c r="F286" s="26"/>
      <c r="G286" s="26"/>
      <c r="H286" s="26"/>
      <c r="I286" s="26"/>
      <c r="J286" s="27" t="s">
        <v>2056</v>
      </c>
      <c r="K286" s="27"/>
      <c r="L286" s="27"/>
      <c r="M286" s="27"/>
      <c r="N286" s="28">
        <f>196.5</f>
        <v>196.5</v>
      </c>
      <c r="O286" s="28"/>
      <c r="P286" s="28"/>
      <c r="Q286" s="27" t="s">
        <v>2032</v>
      </c>
      <c r="R286" s="27"/>
      <c r="S286" s="29" t="s">
        <v>2032</v>
      </c>
      <c r="T286" s="29"/>
      <c r="U286" s="29"/>
      <c r="V286" s="29"/>
      <c r="W286" s="30" t="s">
        <v>2032</v>
      </c>
      <c r="X286" s="29" t="s">
        <v>2032</v>
      </c>
      <c r="Y286" s="29"/>
      <c r="Z286" s="29"/>
      <c r="AA286" s="29"/>
      <c r="AB286" s="27" t="s">
        <v>2056</v>
      </c>
      <c r="AC286" s="27"/>
      <c r="AD286" s="27"/>
      <c r="AE286" s="31">
        <f>196.5</f>
        <v>196.5</v>
      </c>
      <c r="AF286" s="31"/>
      <c r="AG286" s="31"/>
    </row>
    <row r="287" spans="1:33" s="1" customFormat="1" ht="33" customHeight="1">
      <c r="A287" s="24" t="s">
        <v>2814</v>
      </c>
      <c r="B287" s="25" t="s">
        <v>2815</v>
      </c>
      <c r="C287" s="25"/>
      <c r="D287" s="25"/>
      <c r="E287" s="26" t="s">
        <v>2816</v>
      </c>
      <c r="F287" s="26"/>
      <c r="G287" s="26"/>
      <c r="H287" s="26"/>
      <c r="I287" s="26"/>
      <c r="J287" s="27" t="s">
        <v>2057</v>
      </c>
      <c r="K287" s="27"/>
      <c r="L287" s="27"/>
      <c r="M287" s="27"/>
      <c r="N287" s="28">
        <f>2340</f>
        <v>2340</v>
      </c>
      <c r="O287" s="28"/>
      <c r="P287" s="28"/>
      <c r="Q287" s="27" t="s">
        <v>2032</v>
      </c>
      <c r="R287" s="27"/>
      <c r="S287" s="29" t="s">
        <v>2032</v>
      </c>
      <c r="T287" s="29"/>
      <c r="U287" s="29"/>
      <c r="V287" s="29"/>
      <c r="W287" s="30" t="s">
        <v>2032</v>
      </c>
      <c r="X287" s="29" t="s">
        <v>2032</v>
      </c>
      <c r="Y287" s="29"/>
      <c r="Z287" s="29"/>
      <c r="AA287" s="29"/>
      <c r="AB287" s="27" t="s">
        <v>2057</v>
      </c>
      <c r="AC287" s="27"/>
      <c r="AD287" s="27"/>
      <c r="AE287" s="31">
        <f>2340</f>
        <v>2340</v>
      </c>
      <c r="AF287" s="31"/>
      <c r="AG287" s="31"/>
    </row>
    <row r="288" spans="1:33" s="1" customFormat="1" ht="33" customHeight="1">
      <c r="A288" s="24" t="s">
        <v>2817</v>
      </c>
      <c r="B288" s="25" t="s">
        <v>2818</v>
      </c>
      <c r="C288" s="25"/>
      <c r="D288" s="25"/>
      <c r="E288" s="26" t="s">
        <v>2819</v>
      </c>
      <c r="F288" s="26"/>
      <c r="G288" s="26"/>
      <c r="H288" s="26"/>
      <c r="I288" s="26"/>
      <c r="J288" s="27" t="s">
        <v>2057</v>
      </c>
      <c r="K288" s="27"/>
      <c r="L288" s="27"/>
      <c r="M288" s="27"/>
      <c r="N288" s="28">
        <f>2340</f>
        <v>2340</v>
      </c>
      <c r="O288" s="28"/>
      <c r="P288" s="28"/>
      <c r="Q288" s="27" t="s">
        <v>2032</v>
      </c>
      <c r="R288" s="27"/>
      <c r="S288" s="29" t="s">
        <v>2032</v>
      </c>
      <c r="T288" s="29"/>
      <c r="U288" s="29"/>
      <c r="V288" s="29"/>
      <c r="W288" s="30" t="s">
        <v>2032</v>
      </c>
      <c r="X288" s="29" t="s">
        <v>2032</v>
      </c>
      <c r="Y288" s="29"/>
      <c r="Z288" s="29"/>
      <c r="AA288" s="29"/>
      <c r="AB288" s="27" t="s">
        <v>2057</v>
      </c>
      <c r="AC288" s="27"/>
      <c r="AD288" s="27"/>
      <c r="AE288" s="31">
        <f>2340</f>
        <v>2340</v>
      </c>
      <c r="AF288" s="31"/>
      <c r="AG288" s="31"/>
    </row>
    <row r="289" spans="1:33" s="1" customFormat="1" ht="33" customHeight="1">
      <c r="A289" s="24" t="s">
        <v>2820</v>
      </c>
      <c r="B289" s="25" t="s">
        <v>2821</v>
      </c>
      <c r="C289" s="25"/>
      <c r="D289" s="25"/>
      <c r="E289" s="26" t="s">
        <v>2822</v>
      </c>
      <c r="F289" s="26"/>
      <c r="G289" s="26"/>
      <c r="H289" s="26"/>
      <c r="I289" s="26"/>
      <c r="J289" s="27" t="s">
        <v>2057</v>
      </c>
      <c r="K289" s="27"/>
      <c r="L289" s="27"/>
      <c r="M289" s="27"/>
      <c r="N289" s="28">
        <f>2340</f>
        <v>2340</v>
      </c>
      <c r="O289" s="28"/>
      <c r="P289" s="28"/>
      <c r="Q289" s="27" t="s">
        <v>2032</v>
      </c>
      <c r="R289" s="27"/>
      <c r="S289" s="29" t="s">
        <v>2032</v>
      </c>
      <c r="T289" s="29"/>
      <c r="U289" s="29"/>
      <c r="V289" s="29"/>
      <c r="W289" s="30" t="s">
        <v>2032</v>
      </c>
      <c r="X289" s="29" t="s">
        <v>2032</v>
      </c>
      <c r="Y289" s="29"/>
      <c r="Z289" s="29"/>
      <c r="AA289" s="29"/>
      <c r="AB289" s="27" t="s">
        <v>2057</v>
      </c>
      <c r="AC289" s="27"/>
      <c r="AD289" s="27"/>
      <c r="AE289" s="31">
        <f>2340</f>
        <v>2340</v>
      </c>
      <c r="AF289" s="31"/>
      <c r="AG289" s="31"/>
    </row>
    <row r="290" spans="1:33" s="1" customFormat="1" ht="33" customHeight="1">
      <c r="A290" s="24" t="s">
        <v>2823</v>
      </c>
      <c r="B290" s="25" t="s">
        <v>2824</v>
      </c>
      <c r="C290" s="25"/>
      <c r="D290" s="25"/>
      <c r="E290" s="26" t="s">
        <v>2825</v>
      </c>
      <c r="F290" s="26"/>
      <c r="G290" s="26"/>
      <c r="H290" s="26"/>
      <c r="I290" s="26"/>
      <c r="J290" s="27" t="s">
        <v>2057</v>
      </c>
      <c r="K290" s="27"/>
      <c r="L290" s="27"/>
      <c r="M290" s="27"/>
      <c r="N290" s="28">
        <f>2340</f>
        <v>2340</v>
      </c>
      <c r="O290" s="28"/>
      <c r="P290" s="28"/>
      <c r="Q290" s="27" t="s">
        <v>2032</v>
      </c>
      <c r="R290" s="27"/>
      <c r="S290" s="29" t="s">
        <v>2032</v>
      </c>
      <c r="T290" s="29"/>
      <c r="U290" s="29"/>
      <c r="V290" s="29"/>
      <c r="W290" s="30" t="s">
        <v>2032</v>
      </c>
      <c r="X290" s="29" t="s">
        <v>2032</v>
      </c>
      <c r="Y290" s="29"/>
      <c r="Z290" s="29"/>
      <c r="AA290" s="29"/>
      <c r="AB290" s="27" t="s">
        <v>2057</v>
      </c>
      <c r="AC290" s="27"/>
      <c r="AD290" s="27"/>
      <c r="AE290" s="31">
        <f>2340</f>
        <v>2340</v>
      </c>
      <c r="AF290" s="31"/>
      <c r="AG290" s="31"/>
    </row>
    <row r="291" spans="1:33" s="1" customFormat="1" ht="18.75" customHeight="1">
      <c r="A291" s="24" t="s">
        <v>2826</v>
      </c>
      <c r="B291" s="25" t="s">
        <v>2827</v>
      </c>
      <c r="C291" s="25"/>
      <c r="D291" s="25"/>
      <c r="E291" s="26" t="s">
        <v>2828</v>
      </c>
      <c r="F291" s="26"/>
      <c r="G291" s="26"/>
      <c r="H291" s="26"/>
      <c r="I291" s="26"/>
      <c r="J291" s="27" t="s">
        <v>2058</v>
      </c>
      <c r="K291" s="27"/>
      <c r="L291" s="27"/>
      <c r="M291" s="27"/>
      <c r="N291" s="28">
        <f>219.18</f>
        <v>219.18</v>
      </c>
      <c r="O291" s="28"/>
      <c r="P291" s="28"/>
      <c r="Q291" s="27" t="s">
        <v>2032</v>
      </c>
      <c r="R291" s="27"/>
      <c r="S291" s="29" t="s">
        <v>2032</v>
      </c>
      <c r="T291" s="29"/>
      <c r="U291" s="29"/>
      <c r="V291" s="29"/>
      <c r="W291" s="30" t="s">
        <v>2032</v>
      </c>
      <c r="X291" s="29" t="s">
        <v>2032</v>
      </c>
      <c r="Y291" s="29"/>
      <c r="Z291" s="29"/>
      <c r="AA291" s="29"/>
      <c r="AB291" s="27" t="s">
        <v>2058</v>
      </c>
      <c r="AC291" s="27"/>
      <c r="AD291" s="27"/>
      <c r="AE291" s="31">
        <f>219.18</f>
        <v>219.18</v>
      </c>
      <c r="AF291" s="31"/>
      <c r="AG291" s="31"/>
    </row>
    <row r="292" spans="1:33" s="1" customFormat="1" ht="18.75" customHeight="1">
      <c r="A292" s="24" t="s">
        <v>2829</v>
      </c>
      <c r="B292" s="25" t="s">
        <v>2830</v>
      </c>
      <c r="C292" s="25"/>
      <c r="D292" s="25"/>
      <c r="E292" s="26" t="s">
        <v>2831</v>
      </c>
      <c r="F292" s="26"/>
      <c r="G292" s="26"/>
      <c r="H292" s="26"/>
      <c r="I292" s="26"/>
      <c r="J292" s="27" t="s">
        <v>2059</v>
      </c>
      <c r="K292" s="27"/>
      <c r="L292" s="27"/>
      <c r="M292" s="27"/>
      <c r="N292" s="28">
        <f>1987.2</f>
        <v>1987.2</v>
      </c>
      <c r="O292" s="28"/>
      <c r="P292" s="28"/>
      <c r="Q292" s="27" t="s">
        <v>2032</v>
      </c>
      <c r="R292" s="27"/>
      <c r="S292" s="29" t="s">
        <v>2032</v>
      </c>
      <c r="T292" s="29"/>
      <c r="U292" s="29"/>
      <c r="V292" s="29"/>
      <c r="W292" s="30" t="s">
        <v>2032</v>
      </c>
      <c r="X292" s="29" t="s">
        <v>2032</v>
      </c>
      <c r="Y292" s="29"/>
      <c r="Z292" s="29"/>
      <c r="AA292" s="29"/>
      <c r="AB292" s="27" t="s">
        <v>2059</v>
      </c>
      <c r="AC292" s="27"/>
      <c r="AD292" s="27"/>
      <c r="AE292" s="31">
        <f>1987.2</f>
        <v>1987.2</v>
      </c>
      <c r="AF292" s="31"/>
      <c r="AG292" s="31"/>
    </row>
    <row r="293" spans="1:33" s="1" customFormat="1" ht="18.75" customHeight="1">
      <c r="A293" s="24" t="s">
        <v>2832</v>
      </c>
      <c r="B293" s="25" t="s">
        <v>2833</v>
      </c>
      <c r="C293" s="25"/>
      <c r="D293" s="25"/>
      <c r="E293" s="26" t="s">
        <v>2831</v>
      </c>
      <c r="F293" s="26"/>
      <c r="G293" s="26"/>
      <c r="H293" s="26"/>
      <c r="I293" s="26"/>
      <c r="J293" s="27" t="s">
        <v>2087</v>
      </c>
      <c r="K293" s="27"/>
      <c r="L293" s="27"/>
      <c r="M293" s="27"/>
      <c r="N293" s="28">
        <f>6149.96</f>
        <v>6149.96</v>
      </c>
      <c r="O293" s="28"/>
      <c r="P293" s="28"/>
      <c r="Q293" s="27" t="s">
        <v>2032</v>
      </c>
      <c r="R293" s="27"/>
      <c r="S293" s="29" t="s">
        <v>2032</v>
      </c>
      <c r="T293" s="29"/>
      <c r="U293" s="29"/>
      <c r="V293" s="29"/>
      <c r="W293" s="30" t="s">
        <v>2032</v>
      </c>
      <c r="X293" s="29" t="s">
        <v>2032</v>
      </c>
      <c r="Y293" s="29"/>
      <c r="Z293" s="29"/>
      <c r="AA293" s="29"/>
      <c r="AB293" s="27" t="s">
        <v>2087</v>
      </c>
      <c r="AC293" s="27"/>
      <c r="AD293" s="27"/>
      <c r="AE293" s="31">
        <f>6149.96</f>
        <v>6149.96</v>
      </c>
      <c r="AF293" s="31"/>
      <c r="AG293" s="31"/>
    </row>
    <row r="294" spans="1:33" s="1" customFormat="1" ht="18.75" customHeight="1">
      <c r="A294" s="24" t="s">
        <v>2834</v>
      </c>
      <c r="B294" s="25" t="s">
        <v>2835</v>
      </c>
      <c r="C294" s="25"/>
      <c r="D294" s="25"/>
      <c r="E294" s="26" t="s">
        <v>2836</v>
      </c>
      <c r="F294" s="26"/>
      <c r="G294" s="26"/>
      <c r="H294" s="26"/>
      <c r="I294" s="26"/>
      <c r="J294" s="27" t="s">
        <v>2058</v>
      </c>
      <c r="K294" s="27"/>
      <c r="L294" s="27"/>
      <c r="M294" s="27"/>
      <c r="N294" s="28">
        <f>1800</f>
        <v>1800</v>
      </c>
      <c r="O294" s="28"/>
      <c r="P294" s="28"/>
      <c r="Q294" s="27" t="s">
        <v>2032</v>
      </c>
      <c r="R294" s="27"/>
      <c r="S294" s="29" t="s">
        <v>2032</v>
      </c>
      <c r="T294" s="29"/>
      <c r="U294" s="29"/>
      <c r="V294" s="29"/>
      <c r="W294" s="30" t="s">
        <v>2032</v>
      </c>
      <c r="X294" s="29" t="s">
        <v>2032</v>
      </c>
      <c r="Y294" s="29"/>
      <c r="Z294" s="29"/>
      <c r="AA294" s="29"/>
      <c r="AB294" s="27" t="s">
        <v>2058</v>
      </c>
      <c r="AC294" s="27"/>
      <c r="AD294" s="27"/>
      <c r="AE294" s="31">
        <f>1800</f>
        <v>1800</v>
      </c>
      <c r="AF294" s="31"/>
      <c r="AG294" s="31"/>
    </row>
    <row r="295" spans="1:33" s="1" customFormat="1" ht="18.75" customHeight="1">
      <c r="A295" s="24" t="s">
        <v>2837</v>
      </c>
      <c r="B295" s="25" t="s">
        <v>2838</v>
      </c>
      <c r="C295" s="25"/>
      <c r="D295" s="25"/>
      <c r="E295" s="26" t="s">
        <v>2839</v>
      </c>
      <c r="F295" s="26"/>
      <c r="G295" s="26"/>
      <c r="H295" s="26"/>
      <c r="I295" s="26"/>
      <c r="J295" s="27" t="s">
        <v>2056</v>
      </c>
      <c r="K295" s="27"/>
      <c r="L295" s="27"/>
      <c r="M295" s="27"/>
      <c r="N295" s="28">
        <f>1000</f>
        <v>1000</v>
      </c>
      <c r="O295" s="28"/>
      <c r="P295" s="28"/>
      <c r="Q295" s="27" t="s">
        <v>2032</v>
      </c>
      <c r="R295" s="27"/>
      <c r="S295" s="29" t="s">
        <v>2032</v>
      </c>
      <c r="T295" s="29"/>
      <c r="U295" s="29"/>
      <c r="V295" s="29"/>
      <c r="W295" s="30" t="s">
        <v>2032</v>
      </c>
      <c r="X295" s="29" t="s">
        <v>2032</v>
      </c>
      <c r="Y295" s="29"/>
      <c r="Z295" s="29"/>
      <c r="AA295" s="29"/>
      <c r="AB295" s="27" t="s">
        <v>2056</v>
      </c>
      <c r="AC295" s="27"/>
      <c r="AD295" s="27"/>
      <c r="AE295" s="31">
        <f>1000</f>
        <v>1000</v>
      </c>
      <c r="AF295" s="31"/>
      <c r="AG295" s="31"/>
    </row>
    <row r="296" spans="1:33" s="1" customFormat="1" ht="18.75" customHeight="1">
      <c r="A296" s="24" t="s">
        <v>2840</v>
      </c>
      <c r="B296" s="25" t="s">
        <v>2841</v>
      </c>
      <c r="C296" s="25"/>
      <c r="D296" s="25"/>
      <c r="E296" s="26" t="s">
        <v>2842</v>
      </c>
      <c r="F296" s="26"/>
      <c r="G296" s="26"/>
      <c r="H296" s="26"/>
      <c r="I296" s="26"/>
      <c r="J296" s="27" t="s">
        <v>2108</v>
      </c>
      <c r="K296" s="27"/>
      <c r="L296" s="27"/>
      <c r="M296" s="27"/>
      <c r="N296" s="28">
        <f>1224</f>
        <v>1224</v>
      </c>
      <c r="O296" s="28"/>
      <c r="P296" s="28"/>
      <c r="Q296" s="27" t="s">
        <v>2032</v>
      </c>
      <c r="R296" s="27"/>
      <c r="S296" s="29" t="s">
        <v>2032</v>
      </c>
      <c r="T296" s="29"/>
      <c r="U296" s="29"/>
      <c r="V296" s="29"/>
      <c r="W296" s="30" t="s">
        <v>2032</v>
      </c>
      <c r="X296" s="29" t="s">
        <v>2032</v>
      </c>
      <c r="Y296" s="29"/>
      <c r="Z296" s="29"/>
      <c r="AA296" s="29"/>
      <c r="AB296" s="27" t="s">
        <v>2108</v>
      </c>
      <c r="AC296" s="27"/>
      <c r="AD296" s="27"/>
      <c r="AE296" s="31">
        <f>1224</f>
        <v>1224</v>
      </c>
      <c r="AF296" s="31"/>
      <c r="AG296" s="31"/>
    </row>
    <row r="297" spans="1:33" s="1" customFormat="1" ht="18.75" customHeight="1">
      <c r="A297" s="24" t="s">
        <v>2843</v>
      </c>
      <c r="B297" s="25" t="s">
        <v>2844</v>
      </c>
      <c r="C297" s="25"/>
      <c r="D297" s="25"/>
      <c r="E297" s="26" t="s">
        <v>2845</v>
      </c>
      <c r="F297" s="26"/>
      <c r="G297" s="26"/>
      <c r="H297" s="26"/>
      <c r="I297" s="26"/>
      <c r="J297" s="27" t="s">
        <v>2117</v>
      </c>
      <c r="K297" s="27"/>
      <c r="L297" s="27"/>
      <c r="M297" s="27"/>
      <c r="N297" s="28">
        <f>1642.2</f>
        <v>1642.2</v>
      </c>
      <c r="O297" s="28"/>
      <c r="P297" s="28"/>
      <c r="Q297" s="27" t="s">
        <v>2032</v>
      </c>
      <c r="R297" s="27"/>
      <c r="S297" s="29" t="s">
        <v>2032</v>
      </c>
      <c r="T297" s="29"/>
      <c r="U297" s="29"/>
      <c r="V297" s="29"/>
      <c r="W297" s="30" t="s">
        <v>2032</v>
      </c>
      <c r="X297" s="29" t="s">
        <v>2032</v>
      </c>
      <c r="Y297" s="29"/>
      <c r="Z297" s="29"/>
      <c r="AA297" s="29"/>
      <c r="AB297" s="27" t="s">
        <v>2117</v>
      </c>
      <c r="AC297" s="27"/>
      <c r="AD297" s="27"/>
      <c r="AE297" s="31">
        <f>1642.2</f>
        <v>1642.2</v>
      </c>
      <c r="AF297" s="31"/>
      <c r="AG297" s="31"/>
    </row>
    <row r="298" spans="1:33" s="1" customFormat="1" ht="18.75" customHeight="1">
      <c r="A298" s="24" t="s">
        <v>2846</v>
      </c>
      <c r="B298" s="25" t="s">
        <v>2847</v>
      </c>
      <c r="C298" s="25"/>
      <c r="D298" s="25"/>
      <c r="E298" s="26" t="s">
        <v>2848</v>
      </c>
      <c r="F298" s="26"/>
      <c r="G298" s="26"/>
      <c r="H298" s="26"/>
      <c r="I298" s="26"/>
      <c r="J298" s="27" t="s">
        <v>2062</v>
      </c>
      <c r="K298" s="27"/>
      <c r="L298" s="27"/>
      <c r="M298" s="27"/>
      <c r="N298" s="28">
        <f>616</f>
        <v>616</v>
      </c>
      <c r="O298" s="28"/>
      <c r="P298" s="28"/>
      <c r="Q298" s="27" t="s">
        <v>2032</v>
      </c>
      <c r="R298" s="27"/>
      <c r="S298" s="29" t="s">
        <v>2032</v>
      </c>
      <c r="T298" s="29"/>
      <c r="U298" s="29"/>
      <c r="V298" s="29"/>
      <c r="W298" s="30" t="s">
        <v>2032</v>
      </c>
      <c r="X298" s="29" t="s">
        <v>2032</v>
      </c>
      <c r="Y298" s="29"/>
      <c r="Z298" s="29"/>
      <c r="AA298" s="29"/>
      <c r="AB298" s="27" t="s">
        <v>2062</v>
      </c>
      <c r="AC298" s="27"/>
      <c r="AD298" s="27"/>
      <c r="AE298" s="31">
        <f>616</f>
        <v>616</v>
      </c>
      <c r="AF298" s="31"/>
      <c r="AG298" s="31"/>
    </row>
    <row r="299" spans="1:33" s="1" customFormat="1" ht="18.75" customHeight="1">
      <c r="A299" s="24" t="s">
        <v>2849</v>
      </c>
      <c r="B299" s="25" t="s">
        <v>2850</v>
      </c>
      <c r="C299" s="25"/>
      <c r="D299" s="25"/>
      <c r="E299" s="26" t="s">
        <v>2851</v>
      </c>
      <c r="F299" s="26"/>
      <c r="G299" s="26"/>
      <c r="H299" s="26"/>
      <c r="I299" s="26"/>
      <c r="J299" s="27" t="s">
        <v>2065</v>
      </c>
      <c r="K299" s="27"/>
      <c r="L299" s="27"/>
      <c r="M299" s="27"/>
      <c r="N299" s="28">
        <f>1100</f>
        <v>1100</v>
      </c>
      <c r="O299" s="28"/>
      <c r="P299" s="28"/>
      <c r="Q299" s="27" t="s">
        <v>2032</v>
      </c>
      <c r="R299" s="27"/>
      <c r="S299" s="29" t="s">
        <v>2032</v>
      </c>
      <c r="T299" s="29"/>
      <c r="U299" s="29"/>
      <c r="V299" s="29"/>
      <c r="W299" s="30" t="s">
        <v>2032</v>
      </c>
      <c r="X299" s="29" t="s">
        <v>2032</v>
      </c>
      <c r="Y299" s="29"/>
      <c r="Z299" s="29"/>
      <c r="AA299" s="29"/>
      <c r="AB299" s="27" t="s">
        <v>2065</v>
      </c>
      <c r="AC299" s="27"/>
      <c r="AD299" s="27"/>
      <c r="AE299" s="31">
        <f>1100</f>
        <v>1100</v>
      </c>
      <c r="AF299" s="31"/>
      <c r="AG299" s="31"/>
    </row>
    <row r="300" spans="1:33" s="1" customFormat="1" ht="33" customHeight="1">
      <c r="A300" s="24" t="s">
        <v>2852</v>
      </c>
      <c r="B300" s="25" t="s">
        <v>2853</v>
      </c>
      <c r="C300" s="25"/>
      <c r="D300" s="25"/>
      <c r="E300" s="26" t="s">
        <v>2854</v>
      </c>
      <c r="F300" s="26"/>
      <c r="G300" s="26"/>
      <c r="H300" s="26"/>
      <c r="I300" s="26"/>
      <c r="J300" s="27" t="s">
        <v>2062</v>
      </c>
      <c r="K300" s="27"/>
      <c r="L300" s="27"/>
      <c r="M300" s="27"/>
      <c r="N300" s="28">
        <f>856.8</f>
        <v>856.8</v>
      </c>
      <c r="O300" s="28"/>
      <c r="P300" s="28"/>
      <c r="Q300" s="27" t="s">
        <v>2032</v>
      </c>
      <c r="R300" s="27"/>
      <c r="S300" s="29" t="s">
        <v>2032</v>
      </c>
      <c r="T300" s="29"/>
      <c r="U300" s="29"/>
      <c r="V300" s="29"/>
      <c r="W300" s="30" t="s">
        <v>2032</v>
      </c>
      <c r="X300" s="29" t="s">
        <v>2032</v>
      </c>
      <c r="Y300" s="29"/>
      <c r="Z300" s="29"/>
      <c r="AA300" s="29"/>
      <c r="AB300" s="27" t="s">
        <v>2062</v>
      </c>
      <c r="AC300" s="27"/>
      <c r="AD300" s="27"/>
      <c r="AE300" s="31">
        <f>856.8</f>
        <v>856.8</v>
      </c>
      <c r="AF300" s="31"/>
      <c r="AG300" s="31"/>
    </row>
    <row r="301" spans="1:33" s="1" customFormat="1" ht="33" customHeight="1">
      <c r="A301" s="24" t="s">
        <v>2855</v>
      </c>
      <c r="B301" s="25" t="s">
        <v>2597</v>
      </c>
      <c r="C301" s="25"/>
      <c r="D301" s="25"/>
      <c r="E301" s="26" t="s">
        <v>2856</v>
      </c>
      <c r="F301" s="26"/>
      <c r="G301" s="26"/>
      <c r="H301" s="26"/>
      <c r="I301" s="26"/>
      <c r="J301" s="27" t="s">
        <v>2058</v>
      </c>
      <c r="K301" s="27"/>
      <c r="L301" s="27"/>
      <c r="M301" s="27"/>
      <c r="N301" s="28">
        <f>453.06</f>
        <v>453.06</v>
      </c>
      <c r="O301" s="28"/>
      <c r="P301" s="28"/>
      <c r="Q301" s="27" t="s">
        <v>2032</v>
      </c>
      <c r="R301" s="27"/>
      <c r="S301" s="29" t="s">
        <v>2032</v>
      </c>
      <c r="T301" s="29"/>
      <c r="U301" s="29"/>
      <c r="V301" s="29"/>
      <c r="W301" s="30" t="s">
        <v>2032</v>
      </c>
      <c r="X301" s="29" t="s">
        <v>2032</v>
      </c>
      <c r="Y301" s="29"/>
      <c r="Z301" s="29"/>
      <c r="AA301" s="29"/>
      <c r="AB301" s="27" t="s">
        <v>2058</v>
      </c>
      <c r="AC301" s="27"/>
      <c r="AD301" s="27"/>
      <c r="AE301" s="31">
        <f>453.06</f>
        <v>453.06</v>
      </c>
      <c r="AF301" s="31"/>
      <c r="AG301" s="31"/>
    </row>
    <row r="302" spans="1:33" s="1" customFormat="1" ht="33" customHeight="1">
      <c r="A302" s="24" t="s">
        <v>2857</v>
      </c>
      <c r="B302" s="25" t="s">
        <v>2858</v>
      </c>
      <c r="C302" s="25"/>
      <c r="D302" s="25"/>
      <c r="E302" s="26" t="s">
        <v>2859</v>
      </c>
      <c r="F302" s="26"/>
      <c r="G302" s="26"/>
      <c r="H302" s="26"/>
      <c r="I302" s="26"/>
      <c r="J302" s="27" t="s">
        <v>2056</v>
      </c>
      <c r="K302" s="27"/>
      <c r="L302" s="27"/>
      <c r="M302" s="27"/>
      <c r="N302" s="28">
        <f>325</f>
        <v>325</v>
      </c>
      <c r="O302" s="28"/>
      <c r="P302" s="28"/>
      <c r="Q302" s="27" t="s">
        <v>2032</v>
      </c>
      <c r="R302" s="27"/>
      <c r="S302" s="29" t="s">
        <v>2032</v>
      </c>
      <c r="T302" s="29"/>
      <c r="U302" s="29"/>
      <c r="V302" s="29"/>
      <c r="W302" s="30" t="s">
        <v>2032</v>
      </c>
      <c r="X302" s="29" t="s">
        <v>2032</v>
      </c>
      <c r="Y302" s="29"/>
      <c r="Z302" s="29"/>
      <c r="AA302" s="29"/>
      <c r="AB302" s="27" t="s">
        <v>2056</v>
      </c>
      <c r="AC302" s="27"/>
      <c r="AD302" s="27"/>
      <c r="AE302" s="31">
        <f>325</f>
        <v>325</v>
      </c>
      <c r="AF302" s="31"/>
      <c r="AG302" s="31"/>
    </row>
    <row r="303" spans="1:33" s="1" customFormat="1" ht="18.75" customHeight="1">
      <c r="A303" s="24" t="s">
        <v>2860</v>
      </c>
      <c r="B303" s="25" t="s">
        <v>2510</v>
      </c>
      <c r="C303" s="25"/>
      <c r="D303" s="25"/>
      <c r="E303" s="26" t="s">
        <v>2861</v>
      </c>
      <c r="F303" s="26"/>
      <c r="G303" s="26"/>
      <c r="H303" s="26"/>
      <c r="I303" s="26"/>
      <c r="J303" s="27" t="s">
        <v>2056</v>
      </c>
      <c r="K303" s="27"/>
      <c r="L303" s="27"/>
      <c r="M303" s="27"/>
      <c r="N303" s="28">
        <f>960</f>
        <v>960</v>
      </c>
      <c r="O303" s="28"/>
      <c r="P303" s="28"/>
      <c r="Q303" s="27" t="s">
        <v>2032</v>
      </c>
      <c r="R303" s="27"/>
      <c r="S303" s="29" t="s">
        <v>2032</v>
      </c>
      <c r="T303" s="29"/>
      <c r="U303" s="29"/>
      <c r="V303" s="29"/>
      <c r="W303" s="30" t="s">
        <v>2032</v>
      </c>
      <c r="X303" s="29" t="s">
        <v>2032</v>
      </c>
      <c r="Y303" s="29"/>
      <c r="Z303" s="29"/>
      <c r="AA303" s="29"/>
      <c r="AB303" s="27" t="s">
        <v>2056</v>
      </c>
      <c r="AC303" s="27"/>
      <c r="AD303" s="27"/>
      <c r="AE303" s="31">
        <f>960</f>
        <v>960</v>
      </c>
      <c r="AF303" s="31"/>
      <c r="AG303" s="31"/>
    </row>
    <row r="304" spans="1:33" s="1" customFormat="1" ht="18.75" customHeight="1">
      <c r="A304" s="24" t="s">
        <v>2862</v>
      </c>
      <c r="B304" s="25" t="s">
        <v>2863</v>
      </c>
      <c r="C304" s="25"/>
      <c r="D304" s="25"/>
      <c r="E304" s="26" t="s">
        <v>2864</v>
      </c>
      <c r="F304" s="26"/>
      <c r="G304" s="26"/>
      <c r="H304" s="26"/>
      <c r="I304" s="26"/>
      <c r="J304" s="27" t="s">
        <v>2064</v>
      </c>
      <c r="K304" s="27"/>
      <c r="L304" s="27"/>
      <c r="M304" s="27"/>
      <c r="N304" s="28">
        <f>427.58</f>
        <v>427.58</v>
      </c>
      <c r="O304" s="28"/>
      <c r="P304" s="28"/>
      <c r="Q304" s="27" t="s">
        <v>2032</v>
      </c>
      <c r="R304" s="27"/>
      <c r="S304" s="29" t="s">
        <v>2032</v>
      </c>
      <c r="T304" s="29"/>
      <c r="U304" s="29"/>
      <c r="V304" s="29"/>
      <c r="W304" s="30" t="s">
        <v>2032</v>
      </c>
      <c r="X304" s="29" t="s">
        <v>2032</v>
      </c>
      <c r="Y304" s="29"/>
      <c r="Z304" s="29"/>
      <c r="AA304" s="29"/>
      <c r="AB304" s="27" t="s">
        <v>2064</v>
      </c>
      <c r="AC304" s="27"/>
      <c r="AD304" s="27"/>
      <c r="AE304" s="31">
        <f>427.58</f>
        <v>427.58</v>
      </c>
      <c r="AF304" s="31"/>
      <c r="AG304" s="31"/>
    </row>
    <row r="305" spans="1:33" s="1" customFormat="1" ht="18.75" customHeight="1">
      <c r="A305" s="24" t="s">
        <v>2865</v>
      </c>
      <c r="B305" s="25" t="s">
        <v>2866</v>
      </c>
      <c r="C305" s="25"/>
      <c r="D305" s="25"/>
      <c r="E305" s="26" t="s">
        <v>2864</v>
      </c>
      <c r="F305" s="26"/>
      <c r="G305" s="26"/>
      <c r="H305" s="26"/>
      <c r="I305" s="26"/>
      <c r="J305" s="27" t="s">
        <v>2254</v>
      </c>
      <c r="K305" s="27"/>
      <c r="L305" s="27"/>
      <c r="M305" s="27"/>
      <c r="N305" s="28">
        <f>2044.73</f>
        <v>2044.73</v>
      </c>
      <c r="O305" s="28"/>
      <c r="P305" s="28"/>
      <c r="Q305" s="27" t="s">
        <v>2032</v>
      </c>
      <c r="R305" s="27"/>
      <c r="S305" s="29" t="s">
        <v>2032</v>
      </c>
      <c r="T305" s="29"/>
      <c r="U305" s="29"/>
      <c r="V305" s="29"/>
      <c r="W305" s="30" t="s">
        <v>2032</v>
      </c>
      <c r="X305" s="29" t="s">
        <v>2032</v>
      </c>
      <c r="Y305" s="29"/>
      <c r="Z305" s="29"/>
      <c r="AA305" s="29"/>
      <c r="AB305" s="27" t="s">
        <v>2254</v>
      </c>
      <c r="AC305" s="27"/>
      <c r="AD305" s="27"/>
      <c r="AE305" s="31">
        <f>2044.73</f>
        <v>2044.73</v>
      </c>
      <c r="AF305" s="31"/>
      <c r="AG305" s="31"/>
    </row>
    <row r="306" spans="1:33" s="1" customFormat="1" ht="33" customHeight="1">
      <c r="A306" s="24" t="s">
        <v>2867</v>
      </c>
      <c r="B306" s="25" t="s">
        <v>2868</v>
      </c>
      <c r="C306" s="25"/>
      <c r="D306" s="25"/>
      <c r="E306" s="26" t="s">
        <v>2869</v>
      </c>
      <c r="F306" s="26"/>
      <c r="G306" s="26"/>
      <c r="H306" s="26"/>
      <c r="I306" s="26"/>
      <c r="J306" s="27" t="s">
        <v>2385</v>
      </c>
      <c r="K306" s="27"/>
      <c r="L306" s="27"/>
      <c r="M306" s="27"/>
      <c r="N306" s="28">
        <f>3648</f>
        <v>3648</v>
      </c>
      <c r="O306" s="28"/>
      <c r="P306" s="28"/>
      <c r="Q306" s="27" t="s">
        <v>2032</v>
      </c>
      <c r="R306" s="27"/>
      <c r="S306" s="29" t="s">
        <v>2032</v>
      </c>
      <c r="T306" s="29"/>
      <c r="U306" s="29"/>
      <c r="V306" s="29"/>
      <c r="W306" s="30" t="s">
        <v>2032</v>
      </c>
      <c r="X306" s="29" t="s">
        <v>2032</v>
      </c>
      <c r="Y306" s="29"/>
      <c r="Z306" s="29"/>
      <c r="AA306" s="29"/>
      <c r="AB306" s="27" t="s">
        <v>2385</v>
      </c>
      <c r="AC306" s="27"/>
      <c r="AD306" s="27"/>
      <c r="AE306" s="31">
        <f>3648</f>
        <v>3648</v>
      </c>
      <c r="AF306" s="31"/>
      <c r="AG306" s="31"/>
    </row>
    <row r="307" spans="1:33" s="1" customFormat="1" ht="33" customHeight="1">
      <c r="A307" s="24" t="s">
        <v>2870</v>
      </c>
      <c r="B307" s="25" t="s">
        <v>2871</v>
      </c>
      <c r="C307" s="25"/>
      <c r="D307" s="25"/>
      <c r="E307" s="26" t="s">
        <v>2872</v>
      </c>
      <c r="F307" s="26"/>
      <c r="G307" s="26"/>
      <c r="H307" s="26"/>
      <c r="I307" s="26"/>
      <c r="J307" s="27" t="s">
        <v>2269</v>
      </c>
      <c r="K307" s="27"/>
      <c r="L307" s="27"/>
      <c r="M307" s="27"/>
      <c r="N307" s="28">
        <f>2432</f>
        <v>2432</v>
      </c>
      <c r="O307" s="28"/>
      <c r="P307" s="28"/>
      <c r="Q307" s="27" t="s">
        <v>2032</v>
      </c>
      <c r="R307" s="27"/>
      <c r="S307" s="29" t="s">
        <v>2032</v>
      </c>
      <c r="T307" s="29"/>
      <c r="U307" s="29"/>
      <c r="V307" s="29"/>
      <c r="W307" s="30" t="s">
        <v>2032</v>
      </c>
      <c r="X307" s="29" t="s">
        <v>2032</v>
      </c>
      <c r="Y307" s="29"/>
      <c r="Z307" s="29"/>
      <c r="AA307" s="29"/>
      <c r="AB307" s="27" t="s">
        <v>2269</v>
      </c>
      <c r="AC307" s="27"/>
      <c r="AD307" s="27"/>
      <c r="AE307" s="31">
        <f>2432</f>
        <v>2432</v>
      </c>
      <c r="AF307" s="31"/>
      <c r="AG307" s="31"/>
    </row>
    <row r="308" spans="1:33" s="1" customFormat="1" ht="18.75" customHeight="1">
      <c r="A308" s="24" t="s">
        <v>2873</v>
      </c>
      <c r="B308" s="25" t="s">
        <v>2874</v>
      </c>
      <c r="C308" s="25"/>
      <c r="D308" s="25"/>
      <c r="E308" s="26" t="s">
        <v>2875</v>
      </c>
      <c r="F308" s="26"/>
      <c r="G308" s="26"/>
      <c r="H308" s="26"/>
      <c r="I308" s="26"/>
      <c r="J308" s="27" t="s">
        <v>2056</v>
      </c>
      <c r="K308" s="27"/>
      <c r="L308" s="27"/>
      <c r="M308" s="27"/>
      <c r="N308" s="28">
        <f>1297.94</f>
        <v>1297.94</v>
      </c>
      <c r="O308" s="28"/>
      <c r="P308" s="28"/>
      <c r="Q308" s="27" t="s">
        <v>2032</v>
      </c>
      <c r="R308" s="27"/>
      <c r="S308" s="29" t="s">
        <v>2032</v>
      </c>
      <c r="T308" s="29"/>
      <c r="U308" s="29"/>
      <c r="V308" s="29"/>
      <c r="W308" s="30" t="s">
        <v>2032</v>
      </c>
      <c r="X308" s="29" t="s">
        <v>2032</v>
      </c>
      <c r="Y308" s="29"/>
      <c r="Z308" s="29"/>
      <c r="AA308" s="29"/>
      <c r="AB308" s="27" t="s">
        <v>2056</v>
      </c>
      <c r="AC308" s="27"/>
      <c r="AD308" s="27"/>
      <c r="AE308" s="31">
        <f>1297.94</f>
        <v>1297.94</v>
      </c>
      <c r="AF308" s="31"/>
      <c r="AG308" s="31"/>
    </row>
    <row r="309" spans="1:33" s="1" customFormat="1" ht="18.75" customHeight="1">
      <c r="A309" s="24" t="s">
        <v>2876</v>
      </c>
      <c r="B309" s="25" t="s">
        <v>2877</v>
      </c>
      <c r="C309" s="25"/>
      <c r="D309" s="25"/>
      <c r="E309" s="26" t="s">
        <v>2878</v>
      </c>
      <c r="F309" s="26"/>
      <c r="G309" s="26"/>
      <c r="H309" s="26"/>
      <c r="I309" s="26"/>
      <c r="J309" s="27" t="s">
        <v>2058</v>
      </c>
      <c r="K309" s="27"/>
      <c r="L309" s="27"/>
      <c r="M309" s="27"/>
      <c r="N309" s="28">
        <f>1736.32</f>
        <v>1736.32</v>
      </c>
      <c r="O309" s="28"/>
      <c r="P309" s="28"/>
      <c r="Q309" s="27" t="s">
        <v>2032</v>
      </c>
      <c r="R309" s="27"/>
      <c r="S309" s="29" t="s">
        <v>2032</v>
      </c>
      <c r="T309" s="29"/>
      <c r="U309" s="29"/>
      <c r="V309" s="29"/>
      <c r="W309" s="30" t="s">
        <v>2032</v>
      </c>
      <c r="X309" s="29" t="s">
        <v>2032</v>
      </c>
      <c r="Y309" s="29"/>
      <c r="Z309" s="29"/>
      <c r="AA309" s="29"/>
      <c r="AB309" s="27" t="s">
        <v>2058</v>
      </c>
      <c r="AC309" s="27"/>
      <c r="AD309" s="27"/>
      <c r="AE309" s="31">
        <f>1736.32</f>
        <v>1736.32</v>
      </c>
      <c r="AF309" s="31"/>
      <c r="AG309" s="31"/>
    </row>
    <row r="310" spans="1:33" s="1" customFormat="1" ht="18.75" customHeight="1">
      <c r="A310" s="24" t="s">
        <v>2879</v>
      </c>
      <c r="B310" s="25" t="s">
        <v>2880</v>
      </c>
      <c r="C310" s="25"/>
      <c r="D310" s="25"/>
      <c r="E310" s="26" t="s">
        <v>2881</v>
      </c>
      <c r="F310" s="26"/>
      <c r="G310" s="26"/>
      <c r="H310" s="26"/>
      <c r="I310" s="26"/>
      <c r="J310" s="27" t="s">
        <v>2060</v>
      </c>
      <c r="K310" s="27"/>
      <c r="L310" s="27"/>
      <c r="M310" s="27"/>
      <c r="N310" s="28">
        <f>1095.95</f>
        <v>1095.95</v>
      </c>
      <c r="O310" s="28"/>
      <c r="P310" s="28"/>
      <c r="Q310" s="27" t="s">
        <v>2032</v>
      </c>
      <c r="R310" s="27"/>
      <c r="S310" s="29" t="s">
        <v>2032</v>
      </c>
      <c r="T310" s="29"/>
      <c r="U310" s="29"/>
      <c r="V310" s="29"/>
      <c r="W310" s="30" t="s">
        <v>2032</v>
      </c>
      <c r="X310" s="29" t="s">
        <v>2032</v>
      </c>
      <c r="Y310" s="29"/>
      <c r="Z310" s="29"/>
      <c r="AA310" s="29"/>
      <c r="AB310" s="27" t="s">
        <v>2060</v>
      </c>
      <c r="AC310" s="27"/>
      <c r="AD310" s="27"/>
      <c r="AE310" s="31">
        <f>1095.95</f>
        <v>1095.95</v>
      </c>
      <c r="AF310" s="31"/>
      <c r="AG310" s="31"/>
    </row>
    <row r="311" spans="1:33" s="1" customFormat="1" ht="18.75" customHeight="1">
      <c r="A311" s="24" t="s">
        <v>2882</v>
      </c>
      <c r="B311" s="25" t="s">
        <v>2883</v>
      </c>
      <c r="C311" s="25"/>
      <c r="D311" s="25"/>
      <c r="E311" s="26" t="s">
        <v>2884</v>
      </c>
      <c r="F311" s="26"/>
      <c r="G311" s="26"/>
      <c r="H311" s="26"/>
      <c r="I311" s="26"/>
      <c r="J311" s="27" t="s">
        <v>2056</v>
      </c>
      <c r="K311" s="27"/>
      <c r="L311" s="27"/>
      <c r="M311" s="27"/>
      <c r="N311" s="28">
        <f>2900</f>
        <v>2900</v>
      </c>
      <c r="O311" s="28"/>
      <c r="P311" s="28"/>
      <c r="Q311" s="27" t="s">
        <v>2032</v>
      </c>
      <c r="R311" s="27"/>
      <c r="S311" s="29" t="s">
        <v>2032</v>
      </c>
      <c r="T311" s="29"/>
      <c r="U311" s="29"/>
      <c r="V311" s="29"/>
      <c r="W311" s="30" t="s">
        <v>2032</v>
      </c>
      <c r="X311" s="29" t="s">
        <v>2032</v>
      </c>
      <c r="Y311" s="29"/>
      <c r="Z311" s="29"/>
      <c r="AA311" s="29"/>
      <c r="AB311" s="27" t="s">
        <v>2056</v>
      </c>
      <c r="AC311" s="27"/>
      <c r="AD311" s="27"/>
      <c r="AE311" s="31">
        <f>2900</f>
        <v>2900</v>
      </c>
      <c r="AF311" s="31"/>
      <c r="AG311" s="31"/>
    </row>
    <row r="312" spans="1:33" s="1" customFormat="1" ht="18.75" customHeight="1">
      <c r="A312" s="24" t="s">
        <v>2885</v>
      </c>
      <c r="B312" s="25" t="s">
        <v>2886</v>
      </c>
      <c r="C312" s="25"/>
      <c r="D312" s="25"/>
      <c r="E312" s="26" t="s">
        <v>2887</v>
      </c>
      <c r="F312" s="26"/>
      <c r="G312" s="26"/>
      <c r="H312" s="26"/>
      <c r="I312" s="26"/>
      <c r="J312" s="27" t="s">
        <v>2065</v>
      </c>
      <c r="K312" s="27"/>
      <c r="L312" s="27"/>
      <c r="M312" s="27"/>
      <c r="N312" s="28">
        <f>730.6</f>
        <v>730.6</v>
      </c>
      <c r="O312" s="28"/>
      <c r="P312" s="28"/>
      <c r="Q312" s="27" t="s">
        <v>2032</v>
      </c>
      <c r="R312" s="27"/>
      <c r="S312" s="29" t="s">
        <v>2032</v>
      </c>
      <c r="T312" s="29"/>
      <c r="U312" s="29"/>
      <c r="V312" s="29"/>
      <c r="W312" s="30" t="s">
        <v>2032</v>
      </c>
      <c r="X312" s="29" t="s">
        <v>2032</v>
      </c>
      <c r="Y312" s="29"/>
      <c r="Z312" s="29"/>
      <c r="AA312" s="29"/>
      <c r="AB312" s="27" t="s">
        <v>2065</v>
      </c>
      <c r="AC312" s="27"/>
      <c r="AD312" s="27"/>
      <c r="AE312" s="31">
        <f>730.6</f>
        <v>730.6</v>
      </c>
      <c r="AF312" s="31"/>
      <c r="AG312" s="31"/>
    </row>
    <row r="313" spans="1:33" s="1" customFormat="1" ht="18.75" customHeight="1">
      <c r="A313" s="24" t="s">
        <v>2888</v>
      </c>
      <c r="B313" s="25" t="s">
        <v>2889</v>
      </c>
      <c r="C313" s="25"/>
      <c r="D313" s="25"/>
      <c r="E313" s="26" t="s">
        <v>2890</v>
      </c>
      <c r="F313" s="26"/>
      <c r="G313" s="26"/>
      <c r="H313" s="26"/>
      <c r="I313" s="26"/>
      <c r="J313" s="27" t="s">
        <v>2056</v>
      </c>
      <c r="K313" s="27"/>
      <c r="L313" s="27"/>
      <c r="M313" s="27"/>
      <c r="N313" s="28">
        <f>2180.05</f>
        <v>2180.05</v>
      </c>
      <c r="O313" s="28"/>
      <c r="P313" s="28"/>
      <c r="Q313" s="27" t="s">
        <v>2032</v>
      </c>
      <c r="R313" s="27"/>
      <c r="S313" s="29" t="s">
        <v>2032</v>
      </c>
      <c r="T313" s="29"/>
      <c r="U313" s="29"/>
      <c r="V313" s="29"/>
      <c r="W313" s="30" t="s">
        <v>2032</v>
      </c>
      <c r="X313" s="29" t="s">
        <v>2032</v>
      </c>
      <c r="Y313" s="29"/>
      <c r="Z313" s="29"/>
      <c r="AA313" s="29"/>
      <c r="AB313" s="27" t="s">
        <v>2056</v>
      </c>
      <c r="AC313" s="27"/>
      <c r="AD313" s="27"/>
      <c r="AE313" s="31">
        <f>2180.05</f>
        <v>2180.05</v>
      </c>
      <c r="AF313" s="31"/>
      <c r="AG313" s="31"/>
    </row>
    <row r="314" spans="1:33" s="1" customFormat="1" ht="18.75" customHeight="1">
      <c r="A314" s="24" t="s">
        <v>2891</v>
      </c>
      <c r="B314" s="25" t="s">
        <v>2892</v>
      </c>
      <c r="C314" s="25"/>
      <c r="D314" s="25"/>
      <c r="E314" s="26" t="s">
        <v>2893</v>
      </c>
      <c r="F314" s="26"/>
      <c r="G314" s="26"/>
      <c r="H314" s="26"/>
      <c r="I314" s="26"/>
      <c r="J314" s="27" t="s">
        <v>2056</v>
      </c>
      <c r="K314" s="27"/>
      <c r="L314" s="27"/>
      <c r="M314" s="27"/>
      <c r="N314" s="28">
        <f>2180.05</f>
        <v>2180.05</v>
      </c>
      <c r="O314" s="28"/>
      <c r="P314" s="28"/>
      <c r="Q314" s="27" t="s">
        <v>2032</v>
      </c>
      <c r="R314" s="27"/>
      <c r="S314" s="29" t="s">
        <v>2032</v>
      </c>
      <c r="T314" s="29"/>
      <c r="U314" s="29"/>
      <c r="V314" s="29"/>
      <c r="W314" s="30" t="s">
        <v>2032</v>
      </c>
      <c r="X314" s="29" t="s">
        <v>2032</v>
      </c>
      <c r="Y314" s="29"/>
      <c r="Z314" s="29"/>
      <c r="AA314" s="29"/>
      <c r="AB314" s="27" t="s">
        <v>2056</v>
      </c>
      <c r="AC314" s="27"/>
      <c r="AD314" s="27"/>
      <c r="AE314" s="31">
        <f>2180.05</f>
        <v>2180.05</v>
      </c>
      <c r="AF314" s="31"/>
      <c r="AG314" s="31"/>
    </row>
    <row r="315" spans="1:33" s="1" customFormat="1" ht="18.75" customHeight="1">
      <c r="A315" s="24" t="s">
        <v>2894</v>
      </c>
      <c r="B315" s="25" t="s">
        <v>2895</v>
      </c>
      <c r="C315" s="25"/>
      <c r="D315" s="25"/>
      <c r="E315" s="26" t="s">
        <v>2896</v>
      </c>
      <c r="F315" s="26"/>
      <c r="G315" s="26"/>
      <c r="H315" s="26"/>
      <c r="I315" s="26"/>
      <c r="J315" s="27" t="s">
        <v>2090</v>
      </c>
      <c r="K315" s="27"/>
      <c r="L315" s="27"/>
      <c r="M315" s="27"/>
      <c r="N315" s="28">
        <f>4091.5</f>
        <v>4091.5</v>
      </c>
      <c r="O315" s="28"/>
      <c r="P315" s="28"/>
      <c r="Q315" s="27" t="s">
        <v>2032</v>
      </c>
      <c r="R315" s="27"/>
      <c r="S315" s="29" t="s">
        <v>2032</v>
      </c>
      <c r="T315" s="29"/>
      <c r="U315" s="29"/>
      <c r="V315" s="29"/>
      <c r="W315" s="30" t="s">
        <v>2032</v>
      </c>
      <c r="X315" s="29" t="s">
        <v>2032</v>
      </c>
      <c r="Y315" s="29"/>
      <c r="Z315" s="29"/>
      <c r="AA315" s="29"/>
      <c r="AB315" s="27" t="s">
        <v>2090</v>
      </c>
      <c r="AC315" s="27"/>
      <c r="AD315" s="27"/>
      <c r="AE315" s="31">
        <f>4091.5</f>
        <v>4091.5</v>
      </c>
      <c r="AF315" s="31"/>
      <c r="AG315" s="31"/>
    </row>
    <row r="316" spans="1:33" s="1" customFormat="1" ht="18.75" customHeight="1">
      <c r="A316" s="24" t="s">
        <v>2897</v>
      </c>
      <c r="B316" s="25" t="s">
        <v>2898</v>
      </c>
      <c r="C316" s="25"/>
      <c r="D316" s="25"/>
      <c r="E316" s="26" t="s">
        <v>2899</v>
      </c>
      <c r="F316" s="26"/>
      <c r="G316" s="26"/>
      <c r="H316" s="26"/>
      <c r="I316" s="26"/>
      <c r="J316" s="27" t="s">
        <v>2056</v>
      </c>
      <c r="K316" s="27"/>
      <c r="L316" s="27"/>
      <c r="M316" s="27"/>
      <c r="N316" s="28">
        <f>100</f>
        <v>100</v>
      </c>
      <c r="O316" s="28"/>
      <c r="P316" s="28"/>
      <c r="Q316" s="27" t="s">
        <v>2032</v>
      </c>
      <c r="R316" s="27"/>
      <c r="S316" s="29" t="s">
        <v>2032</v>
      </c>
      <c r="T316" s="29"/>
      <c r="U316" s="29"/>
      <c r="V316" s="29"/>
      <c r="W316" s="30" t="s">
        <v>2032</v>
      </c>
      <c r="X316" s="29" t="s">
        <v>2032</v>
      </c>
      <c r="Y316" s="29"/>
      <c r="Z316" s="29"/>
      <c r="AA316" s="29"/>
      <c r="AB316" s="27" t="s">
        <v>2056</v>
      </c>
      <c r="AC316" s="27"/>
      <c r="AD316" s="27"/>
      <c r="AE316" s="31">
        <f>100</f>
        <v>100</v>
      </c>
      <c r="AF316" s="31"/>
      <c r="AG316" s="31"/>
    </row>
    <row r="317" spans="1:33" s="1" customFormat="1" ht="18.75" customHeight="1">
      <c r="A317" s="24" t="s">
        <v>2900</v>
      </c>
      <c r="B317" s="25" t="s">
        <v>2901</v>
      </c>
      <c r="C317" s="25"/>
      <c r="D317" s="25"/>
      <c r="E317" s="26" t="s">
        <v>2902</v>
      </c>
      <c r="F317" s="26"/>
      <c r="G317" s="26"/>
      <c r="H317" s="26"/>
      <c r="I317" s="26"/>
      <c r="J317" s="27" t="s">
        <v>2056</v>
      </c>
      <c r="K317" s="27"/>
      <c r="L317" s="27"/>
      <c r="M317" s="27"/>
      <c r="N317" s="28">
        <f>1612</f>
        <v>1612</v>
      </c>
      <c r="O317" s="28"/>
      <c r="P317" s="28"/>
      <c r="Q317" s="27" t="s">
        <v>2032</v>
      </c>
      <c r="R317" s="27"/>
      <c r="S317" s="29" t="s">
        <v>2032</v>
      </c>
      <c r="T317" s="29"/>
      <c r="U317" s="29"/>
      <c r="V317" s="29"/>
      <c r="W317" s="30" t="s">
        <v>2032</v>
      </c>
      <c r="X317" s="29" t="s">
        <v>2032</v>
      </c>
      <c r="Y317" s="29"/>
      <c r="Z317" s="29"/>
      <c r="AA317" s="29"/>
      <c r="AB317" s="27" t="s">
        <v>2056</v>
      </c>
      <c r="AC317" s="27"/>
      <c r="AD317" s="27"/>
      <c r="AE317" s="31">
        <f>1612</f>
        <v>1612</v>
      </c>
      <c r="AF317" s="31"/>
      <c r="AG317" s="31"/>
    </row>
    <row r="318" spans="1:33" s="1" customFormat="1" ht="18.75" customHeight="1">
      <c r="A318" s="24" t="s">
        <v>2903</v>
      </c>
      <c r="B318" s="25" t="s">
        <v>2904</v>
      </c>
      <c r="C318" s="25"/>
      <c r="D318" s="25"/>
      <c r="E318" s="26" t="s">
        <v>2902</v>
      </c>
      <c r="F318" s="26"/>
      <c r="G318" s="26"/>
      <c r="H318" s="26"/>
      <c r="I318" s="26"/>
      <c r="J318" s="27" t="s">
        <v>2056</v>
      </c>
      <c r="K318" s="27"/>
      <c r="L318" s="27"/>
      <c r="M318" s="27"/>
      <c r="N318" s="28">
        <f>2288</f>
        <v>2288</v>
      </c>
      <c r="O318" s="28"/>
      <c r="P318" s="28"/>
      <c r="Q318" s="27" t="s">
        <v>2032</v>
      </c>
      <c r="R318" s="27"/>
      <c r="S318" s="29" t="s">
        <v>2032</v>
      </c>
      <c r="T318" s="29"/>
      <c r="U318" s="29"/>
      <c r="V318" s="29"/>
      <c r="W318" s="30" t="s">
        <v>2032</v>
      </c>
      <c r="X318" s="29" t="s">
        <v>2032</v>
      </c>
      <c r="Y318" s="29"/>
      <c r="Z318" s="29"/>
      <c r="AA318" s="29"/>
      <c r="AB318" s="27" t="s">
        <v>2056</v>
      </c>
      <c r="AC318" s="27"/>
      <c r="AD318" s="27"/>
      <c r="AE318" s="31">
        <f>2288</f>
        <v>2288</v>
      </c>
      <c r="AF318" s="31"/>
      <c r="AG318" s="31"/>
    </row>
    <row r="319" spans="1:33" s="1" customFormat="1" ht="18.75" customHeight="1">
      <c r="A319" s="24" t="s">
        <v>2905</v>
      </c>
      <c r="B319" s="25" t="s">
        <v>2906</v>
      </c>
      <c r="C319" s="25"/>
      <c r="D319" s="25"/>
      <c r="E319" s="26" t="s">
        <v>2902</v>
      </c>
      <c r="F319" s="26"/>
      <c r="G319" s="26"/>
      <c r="H319" s="26"/>
      <c r="I319" s="26"/>
      <c r="J319" s="27" t="s">
        <v>2056</v>
      </c>
      <c r="K319" s="27"/>
      <c r="L319" s="27"/>
      <c r="M319" s="27"/>
      <c r="N319" s="28">
        <f>1483.2</f>
        <v>1483.2</v>
      </c>
      <c r="O319" s="28"/>
      <c r="P319" s="28"/>
      <c r="Q319" s="27" t="s">
        <v>2032</v>
      </c>
      <c r="R319" s="27"/>
      <c r="S319" s="29" t="s">
        <v>2032</v>
      </c>
      <c r="T319" s="29"/>
      <c r="U319" s="29"/>
      <c r="V319" s="29"/>
      <c r="W319" s="30" t="s">
        <v>2032</v>
      </c>
      <c r="X319" s="29" t="s">
        <v>2032</v>
      </c>
      <c r="Y319" s="29"/>
      <c r="Z319" s="29"/>
      <c r="AA319" s="29"/>
      <c r="AB319" s="27" t="s">
        <v>2056</v>
      </c>
      <c r="AC319" s="27"/>
      <c r="AD319" s="27"/>
      <c r="AE319" s="31">
        <f>1483.2</f>
        <v>1483.2</v>
      </c>
      <c r="AF319" s="31"/>
      <c r="AG319" s="31"/>
    </row>
    <row r="320" spans="1:33" s="1" customFormat="1" ht="18.75" customHeight="1">
      <c r="A320" s="24" t="s">
        <v>2907</v>
      </c>
      <c r="B320" s="25" t="s">
        <v>2908</v>
      </c>
      <c r="C320" s="25"/>
      <c r="D320" s="25"/>
      <c r="E320" s="26" t="s">
        <v>2902</v>
      </c>
      <c r="F320" s="26"/>
      <c r="G320" s="26"/>
      <c r="H320" s="26"/>
      <c r="I320" s="26"/>
      <c r="J320" s="27" t="s">
        <v>2056</v>
      </c>
      <c r="K320" s="27"/>
      <c r="L320" s="27"/>
      <c r="M320" s="27"/>
      <c r="N320" s="28">
        <f>876.76</f>
        <v>876.76</v>
      </c>
      <c r="O320" s="28"/>
      <c r="P320" s="28"/>
      <c r="Q320" s="27" t="s">
        <v>2032</v>
      </c>
      <c r="R320" s="27"/>
      <c r="S320" s="29" t="s">
        <v>2032</v>
      </c>
      <c r="T320" s="29"/>
      <c r="U320" s="29"/>
      <c r="V320" s="29"/>
      <c r="W320" s="30" t="s">
        <v>2032</v>
      </c>
      <c r="X320" s="29" t="s">
        <v>2032</v>
      </c>
      <c r="Y320" s="29"/>
      <c r="Z320" s="29"/>
      <c r="AA320" s="29"/>
      <c r="AB320" s="27" t="s">
        <v>2056</v>
      </c>
      <c r="AC320" s="27"/>
      <c r="AD320" s="27"/>
      <c r="AE320" s="31">
        <f>876.76</f>
        <v>876.76</v>
      </c>
      <c r="AF320" s="31"/>
      <c r="AG320" s="31"/>
    </row>
    <row r="321" spans="1:33" s="1" customFormat="1" ht="18.75" customHeight="1">
      <c r="A321" s="24" t="s">
        <v>2909</v>
      </c>
      <c r="B321" s="25" t="s">
        <v>2910</v>
      </c>
      <c r="C321" s="25"/>
      <c r="D321" s="25"/>
      <c r="E321" s="26" t="s">
        <v>2911</v>
      </c>
      <c r="F321" s="26"/>
      <c r="G321" s="26"/>
      <c r="H321" s="26"/>
      <c r="I321" s="26"/>
      <c r="J321" s="27" t="s">
        <v>2056</v>
      </c>
      <c r="K321" s="27"/>
      <c r="L321" s="27"/>
      <c r="M321" s="27"/>
      <c r="N321" s="28">
        <f>1872</f>
        <v>1872</v>
      </c>
      <c r="O321" s="28"/>
      <c r="P321" s="28"/>
      <c r="Q321" s="27" t="s">
        <v>2032</v>
      </c>
      <c r="R321" s="27"/>
      <c r="S321" s="29" t="s">
        <v>2032</v>
      </c>
      <c r="T321" s="29"/>
      <c r="U321" s="29"/>
      <c r="V321" s="29"/>
      <c r="W321" s="30" t="s">
        <v>2032</v>
      </c>
      <c r="X321" s="29" t="s">
        <v>2032</v>
      </c>
      <c r="Y321" s="29"/>
      <c r="Z321" s="29"/>
      <c r="AA321" s="29"/>
      <c r="AB321" s="27" t="s">
        <v>2056</v>
      </c>
      <c r="AC321" s="27"/>
      <c r="AD321" s="27"/>
      <c r="AE321" s="31">
        <f>1872</f>
        <v>1872</v>
      </c>
      <c r="AF321" s="31"/>
      <c r="AG321" s="31"/>
    </row>
    <row r="322" spans="1:33" s="1" customFormat="1" ht="46.5" customHeight="1">
      <c r="A322" s="24" t="s">
        <v>2912</v>
      </c>
      <c r="B322" s="25" t="s">
        <v>2913</v>
      </c>
      <c r="C322" s="25"/>
      <c r="D322" s="25"/>
      <c r="E322" s="26" t="s">
        <v>2914</v>
      </c>
      <c r="F322" s="26"/>
      <c r="G322" s="26"/>
      <c r="H322" s="26"/>
      <c r="I322" s="26"/>
      <c r="J322" s="27" t="s">
        <v>2056</v>
      </c>
      <c r="K322" s="27"/>
      <c r="L322" s="27"/>
      <c r="M322" s="27"/>
      <c r="N322" s="28">
        <f>1836</f>
        <v>1836</v>
      </c>
      <c r="O322" s="28"/>
      <c r="P322" s="28"/>
      <c r="Q322" s="27" t="s">
        <v>2032</v>
      </c>
      <c r="R322" s="27"/>
      <c r="S322" s="29" t="s">
        <v>2032</v>
      </c>
      <c r="T322" s="29"/>
      <c r="U322" s="29"/>
      <c r="V322" s="29"/>
      <c r="W322" s="30" t="s">
        <v>2032</v>
      </c>
      <c r="X322" s="29" t="s">
        <v>2032</v>
      </c>
      <c r="Y322" s="29"/>
      <c r="Z322" s="29"/>
      <c r="AA322" s="29"/>
      <c r="AB322" s="27" t="s">
        <v>2056</v>
      </c>
      <c r="AC322" s="27"/>
      <c r="AD322" s="27"/>
      <c r="AE322" s="31">
        <f>1836</f>
        <v>1836</v>
      </c>
      <c r="AF322" s="31"/>
      <c r="AG322" s="31"/>
    </row>
    <row r="323" spans="1:33" s="1" customFormat="1" ht="18.75" customHeight="1">
      <c r="A323" s="24" t="s">
        <v>2915</v>
      </c>
      <c r="B323" s="25" t="s">
        <v>2916</v>
      </c>
      <c r="C323" s="25"/>
      <c r="D323" s="25"/>
      <c r="E323" s="26" t="s">
        <v>2917</v>
      </c>
      <c r="F323" s="26"/>
      <c r="G323" s="26"/>
      <c r="H323" s="26"/>
      <c r="I323" s="26"/>
      <c r="J323" s="27" t="s">
        <v>2056</v>
      </c>
      <c r="K323" s="27"/>
      <c r="L323" s="27"/>
      <c r="M323" s="27"/>
      <c r="N323" s="28">
        <f>325</f>
        <v>325</v>
      </c>
      <c r="O323" s="28"/>
      <c r="P323" s="28"/>
      <c r="Q323" s="27" t="s">
        <v>2032</v>
      </c>
      <c r="R323" s="27"/>
      <c r="S323" s="29" t="s">
        <v>2032</v>
      </c>
      <c r="T323" s="29"/>
      <c r="U323" s="29"/>
      <c r="V323" s="29"/>
      <c r="W323" s="30" t="s">
        <v>2032</v>
      </c>
      <c r="X323" s="29" t="s">
        <v>2032</v>
      </c>
      <c r="Y323" s="29"/>
      <c r="Z323" s="29"/>
      <c r="AA323" s="29"/>
      <c r="AB323" s="27" t="s">
        <v>2056</v>
      </c>
      <c r="AC323" s="27"/>
      <c r="AD323" s="27"/>
      <c r="AE323" s="31">
        <f>325</f>
        <v>325</v>
      </c>
      <c r="AF323" s="31"/>
      <c r="AG323" s="31"/>
    </row>
    <row r="324" spans="1:33" s="1" customFormat="1" ht="33" customHeight="1">
      <c r="A324" s="24" t="s">
        <v>2918</v>
      </c>
      <c r="B324" s="25" t="s">
        <v>2919</v>
      </c>
      <c r="C324" s="25"/>
      <c r="D324" s="25"/>
      <c r="E324" s="26" t="s">
        <v>2920</v>
      </c>
      <c r="F324" s="26"/>
      <c r="G324" s="26"/>
      <c r="H324" s="26"/>
      <c r="I324" s="26"/>
      <c r="J324" s="27" t="s">
        <v>2056</v>
      </c>
      <c r="K324" s="27"/>
      <c r="L324" s="27"/>
      <c r="M324" s="27"/>
      <c r="N324" s="28">
        <f>1652</f>
        <v>1652</v>
      </c>
      <c r="O324" s="28"/>
      <c r="P324" s="28"/>
      <c r="Q324" s="27" t="s">
        <v>2032</v>
      </c>
      <c r="R324" s="27"/>
      <c r="S324" s="29" t="s">
        <v>2032</v>
      </c>
      <c r="T324" s="29"/>
      <c r="U324" s="29"/>
      <c r="V324" s="29"/>
      <c r="W324" s="30" t="s">
        <v>2032</v>
      </c>
      <c r="X324" s="29" t="s">
        <v>2032</v>
      </c>
      <c r="Y324" s="29"/>
      <c r="Z324" s="29"/>
      <c r="AA324" s="29"/>
      <c r="AB324" s="27" t="s">
        <v>2056</v>
      </c>
      <c r="AC324" s="27"/>
      <c r="AD324" s="27"/>
      <c r="AE324" s="31">
        <f>1652</f>
        <v>1652</v>
      </c>
      <c r="AF324" s="31"/>
      <c r="AG324" s="31"/>
    </row>
    <row r="325" spans="1:33" s="1" customFormat="1" ht="33" customHeight="1">
      <c r="A325" s="24" t="s">
        <v>2921</v>
      </c>
      <c r="B325" s="25" t="s">
        <v>2922</v>
      </c>
      <c r="C325" s="25"/>
      <c r="D325" s="25"/>
      <c r="E325" s="26" t="s">
        <v>2923</v>
      </c>
      <c r="F325" s="26"/>
      <c r="G325" s="26"/>
      <c r="H325" s="26"/>
      <c r="I325" s="26"/>
      <c r="J325" s="27" t="s">
        <v>2057</v>
      </c>
      <c r="K325" s="27"/>
      <c r="L325" s="27"/>
      <c r="M325" s="27"/>
      <c r="N325" s="28">
        <f>3304</f>
        <v>3304</v>
      </c>
      <c r="O325" s="28"/>
      <c r="P325" s="28"/>
      <c r="Q325" s="27" t="s">
        <v>2032</v>
      </c>
      <c r="R325" s="27"/>
      <c r="S325" s="29" t="s">
        <v>2032</v>
      </c>
      <c r="T325" s="29"/>
      <c r="U325" s="29"/>
      <c r="V325" s="29"/>
      <c r="W325" s="30" t="s">
        <v>2032</v>
      </c>
      <c r="X325" s="29" t="s">
        <v>2032</v>
      </c>
      <c r="Y325" s="29"/>
      <c r="Z325" s="29"/>
      <c r="AA325" s="29"/>
      <c r="AB325" s="27" t="s">
        <v>2057</v>
      </c>
      <c r="AC325" s="27"/>
      <c r="AD325" s="27"/>
      <c r="AE325" s="31">
        <f>3304</f>
        <v>3304</v>
      </c>
      <c r="AF325" s="31"/>
      <c r="AG325" s="31"/>
    </row>
    <row r="326" spans="1:33" s="1" customFormat="1" ht="18.75" customHeight="1">
      <c r="A326" s="24" t="s">
        <v>2924</v>
      </c>
      <c r="B326" s="25" t="s">
        <v>2925</v>
      </c>
      <c r="C326" s="25"/>
      <c r="D326" s="25"/>
      <c r="E326" s="26" t="s">
        <v>2926</v>
      </c>
      <c r="F326" s="26"/>
      <c r="G326" s="26"/>
      <c r="H326" s="26"/>
      <c r="I326" s="26"/>
      <c r="J326" s="27" t="s">
        <v>2056</v>
      </c>
      <c r="K326" s="27"/>
      <c r="L326" s="27"/>
      <c r="M326" s="27"/>
      <c r="N326" s="28">
        <f>292.25</f>
        <v>292.25</v>
      </c>
      <c r="O326" s="28"/>
      <c r="P326" s="28"/>
      <c r="Q326" s="27" t="s">
        <v>2032</v>
      </c>
      <c r="R326" s="27"/>
      <c r="S326" s="29" t="s">
        <v>2032</v>
      </c>
      <c r="T326" s="29"/>
      <c r="U326" s="29"/>
      <c r="V326" s="29"/>
      <c r="W326" s="30" t="s">
        <v>2032</v>
      </c>
      <c r="X326" s="29" t="s">
        <v>2032</v>
      </c>
      <c r="Y326" s="29"/>
      <c r="Z326" s="29"/>
      <c r="AA326" s="29"/>
      <c r="AB326" s="27" t="s">
        <v>2056</v>
      </c>
      <c r="AC326" s="27"/>
      <c r="AD326" s="27"/>
      <c r="AE326" s="31">
        <f>292.25</f>
        <v>292.25</v>
      </c>
      <c r="AF326" s="31"/>
      <c r="AG326" s="31"/>
    </row>
    <row r="327" spans="1:33" s="1" customFormat="1" ht="18.75" customHeight="1">
      <c r="A327" s="24" t="s">
        <v>2927</v>
      </c>
      <c r="B327" s="25" t="s">
        <v>2928</v>
      </c>
      <c r="C327" s="25"/>
      <c r="D327" s="25"/>
      <c r="E327" s="26" t="s">
        <v>2929</v>
      </c>
      <c r="F327" s="26"/>
      <c r="G327" s="26"/>
      <c r="H327" s="26"/>
      <c r="I327" s="26"/>
      <c r="J327" s="27" t="s">
        <v>2057</v>
      </c>
      <c r="K327" s="27"/>
      <c r="L327" s="27"/>
      <c r="M327" s="27"/>
      <c r="N327" s="28">
        <f>146.12</f>
        <v>146.12</v>
      </c>
      <c r="O327" s="28"/>
      <c r="P327" s="28"/>
      <c r="Q327" s="27" t="s">
        <v>2032</v>
      </c>
      <c r="R327" s="27"/>
      <c r="S327" s="29" t="s">
        <v>2032</v>
      </c>
      <c r="T327" s="29"/>
      <c r="U327" s="29"/>
      <c r="V327" s="29"/>
      <c r="W327" s="30" t="s">
        <v>2032</v>
      </c>
      <c r="X327" s="29" t="s">
        <v>2032</v>
      </c>
      <c r="Y327" s="29"/>
      <c r="Z327" s="29"/>
      <c r="AA327" s="29"/>
      <c r="AB327" s="27" t="s">
        <v>2057</v>
      </c>
      <c r="AC327" s="27"/>
      <c r="AD327" s="27"/>
      <c r="AE327" s="31">
        <f>146.12</f>
        <v>146.12</v>
      </c>
      <c r="AF327" s="31"/>
      <c r="AG327" s="31"/>
    </row>
    <row r="328" spans="1:33" s="1" customFormat="1" ht="33" customHeight="1">
      <c r="A328" s="24" t="s">
        <v>2930</v>
      </c>
      <c r="B328" s="25" t="s">
        <v>2931</v>
      </c>
      <c r="C328" s="25"/>
      <c r="D328" s="25"/>
      <c r="E328" s="26" t="s">
        <v>2932</v>
      </c>
      <c r="F328" s="26"/>
      <c r="G328" s="26"/>
      <c r="H328" s="26"/>
      <c r="I328" s="26"/>
      <c r="J328" s="27" t="s">
        <v>2093</v>
      </c>
      <c r="K328" s="27"/>
      <c r="L328" s="27"/>
      <c r="M328" s="27"/>
      <c r="N328" s="28">
        <f>5752.5</f>
        <v>5752.5</v>
      </c>
      <c r="O328" s="28"/>
      <c r="P328" s="28"/>
      <c r="Q328" s="27" t="s">
        <v>2032</v>
      </c>
      <c r="R328" s="27"/>
      <c r="S328" s="29" t="s">
        <v>2032</v>
      </c>
      <c r="T328" s="29"/>
      <c r="U328" s="29"/>
      <c r="V328" s="29"/>
      <c r="W328" s="30" t="s">
        <v>2032</v>
      </c>
      <c r="X328" s="29" t="s">
        <v>2032</v>
      </c>
      <c r="Y328" s="29"/>
      <c r="Z328" s="29"/>
      <c r="AA328" s="29"/>
      <c r="AB328" s="27" t="s">
        <v>2093</v>
      </c>
      <c r="AC328" s="27"/>
      <c r="AD328" s="27"/>
      <c r="AE328" s="31">
        <f>5752.5</f>
        <v>5752.5</v>
      </c>
      <c r="AF328" s="31"/>
      <c r="AG328" s="31"/>
    </row>
    <row r="329" spans="1:33" s="1" customFormat="1" ht="18.75" customHeight="1">
      <c r="A329" s="24" t="s">
        <v>2933</v>
      </c>
      <c r="B329" s="25" t="s">
        <v>2934</v>
      </c>
      <c r="C329" s="25"/>
      <c r="D329" s="25"/>
      <c r="E329" s="26" t="s">
        <v>2935</v>
      </c>
      <c r="F329" s="26"/>
      <c r="G329" s="26"/>
      <c r="H329" s="26"/>
      <c r="I329" s="26"/>
      <c r="J329" s="27" t="s">
        <v>2065</v>
      </c>
      <c r="K329" s="27"/>
      <c r="L329" s="27"/>
      <c r="M329" s="27"/>
      <c r="N329" s="28">
        <f>730.6</f>
        <v>730.6</v>
      </c>
      <c r="O329" s="28"/>
      <c r="P329" s="28"/>
      <c r="Q329" s="27" t="s">
        <v>2032</v>
      </c>
      <c r="R329" s="27"/>
      <c r="S329" s="29" t="s">
        <v>2032</v>
      </c>
      <c r="T329" s="29"/>
      <c r="U329" s="29"/>
      <c r="V329" s="29"/>
      <c r="W329" s="30" t="s">
        <v>2032</v>
      </c>
      <c r="X329" s="29" t="s">
        <v>2032</v>
      </c>
      <c r="Y329" s="29"/>
      <c r="Z329" s="29"/>
      <c r="AA329" s="29"/>
      <c r="AB329" s="27" t="s">
        <v>2065</v>
      </c>
      <c r="AC329" s="27"/>
      <c r="AD329" s="27"/>
      <c r="AE329" s="31">
        <f>730.6</f>
        <v>730.6</v>
      </c>
      <c r="AF329" s="31"/>
      <c r="AG329" s="31"/>
    </row>
    <row r="330" spans="1:33" s="1" customFormat="1" ht="18.75" customHeight="1">
      <c r="A330" s="24" t="s">
        <v>2936</v>
      </c>
      <c r="B330" s="25" t="s">
        <v>2937</v>
      </c>
      <c r="C330" s="25"/>
      <c r="D330" s="25"/>
      <c r="E330" s="26" t="s">
        <v>2938</v>
      </c>
      <c r="F330" s="26"/>
      <c r="G330" s="26"/>
      <c r="H330" s="26"/>
      <c r="I330" s="26"/>
      <c r="J330" s="27" t="s">
        <v>2056</v>
      </c>
      <c r="K330" s="27"/>
      <c r="L330" s="27"/>
      <c r="M330" s="27"/>
      <c r="N330" s="28">
        <f>73.06</f>
        <v>73.06</v>
      </c>
      <c r="O330" s="28"/>
      <c r="P330" s="28"/>
      <c r="Q330" s="27" t="s">
        <v>2032</v>
      </c>
      <c r="R330" s="27"/>
      <c r="S330" s="29" t="s">
        <v>2032</v>
      </c>
      <c r="T330" s="29"/>
      <c r="U330" s="29"/>
      <c r="V330" s="29"/>
      <c r="W330" s="30" t="s">
        <v>2032</v>
      </c>
      <c r="X330" s="29" t="s">
        <v>2032</v>
      </c>
      <c r="Y330" s="29"/>
      <c r="Z330" s="29"/>
      <c r="AA330" s="29"/>
      <c r="AB330" s="27" t="s">
        <v>2056</v>
      </c>
      <c r="AC330" s="27"/>
      <c r="AD330" s="27"/>
      <c r="AE330" s="31">
        <f>73.06</f>
        <v>73.06</v>
      </c>
      <c r="AF330" s="31"/>
      <c r="AG330" s="31"/>
    </row>
    <row r="331" spans="1:33" s="1" customFormat="1" ht="61.5" customHeight="1">
      <c r="A331" s="24" t="s">
        <v>2939</v>
      </c>
      <c r="B331" s="25" t="s">
        <v>2940</v>
      </c>
      <c r="C331" s="25"/>
      <c r="D331" s="25"/>
      <c r="E331" s="26" t="s">
        <v>2941</v>
      </c>
      <c r="F331" s="26"/>
      <c r="G331" s="26"/>
      <c r="H331" s="26"/>
      <c r="I331" s="26"/>
      <c r="J331" s="27" t="s">
        <v>2056</v>
      </c>
      <c r="K331" s="27"/>
      <c r="L331" s="27"/>
      <c r="M331" s="27"/>
      <c r="N331" s="28">
        <f>325</f>
        <v>325</v>
      </c>
      <c r="O331" s="28"/>
      <c r="P331" s="28"/>
      <c r="Q331" s="27" t="s">
        <v>2032</v>
      </c>
      <c r="R331" s="27"/>
      <c r="S331" s="29" t="s">
        <v>2032</v>
      </c>
      <c r="T331" s="29"/>
      <c r="U331" s="29"/>
      <c r="V331" s="29"/>
      <c r="W331" s="30" t="s">
        <v>2032</v>
      </c>
      <c r="X331" s="29" t="s">
        <v>2032</v>
      </c>
      <c r="Y331" s="29"/>
      <c r="Z331" s="29"/>
      <c r="AA331" s="29"/>
      <c r="AB331" s="27" t="s">
        <v>2056</v>
      </c>
      <c r="AC331" s="27"/>
      <c r="AD331" s="27"/>
      <c r="AE331" s="31">
        <f>325</f>
        <v>325</v>
      </c>
      <c r="AF331" s="31"/>
      <c r="AG331" s="31"/>
    </row>
    <row r="332" spans="1:33" s="1" customFormat="1" ht="33" customHeight="1">
      <c r="A332" s="24" t="s">
        <v>2942</v>
      </c>
      <c r="B332" s="25" t="s">
        <v>2943</v>
      </c>
      <c r="C332" s="25"/>
      <c r="D332" s="25"/>
      <c r="E332" s="26" t="s">
        <v>2944</v>
      </c>
      <c r="F332" s="26"/>
      <c r="G332" s="26"/>
      <c r="H332" s="26"/>
      <c r="I332" s="26"/>
      <c r="J332" s="27" t="s">
        <v>2056</v>
      </c>
      <c r="K332" s="27"/>
      <c r="L332" s="27"/>
      <c r="M332" s="27"/>
      <c r="N332" s="28">
        <f>325</f>
        <v>325</v>
      </c>
      <c r="O332" s="28"/>
      <c r="P332" s="28"/>
      <c r="Q332" s="27" t="s">
        <v>2032</v>
      </c>
      <c r="R332" s="27"/>
      <c r="S332" s="29" t="s">
        <v>2032</v>
      </c>
      <c r="T332" s="29"/>
      <c r="U332" s="29"/>
      <c r="V332" s="29"/>
      <c r="W332" s="30" t="s">
        <v>2032</v>
      </c>
      <c r="X332" s="29" t="s">
        <v>2032</v>
      </c>
      <c r="Y332" s="29"/>
      <c r="Z332" s="29"/>
      <c r="AA332" s="29"/>
      <c r="AB332" s="27" t="s">
        <v>2056</v>
      </c>
      <c r="AC332" s="27"/>
      <c r="AD332" s="27"/>
      <c r="AE332" s="31">
        <f>325</f>
        <v>325</v>
      </c>
      <c r="AF332" s="31"/>
      <c r="AG332" s="31"/>
    </row>
    <row r="333" spans="1:33" s="1" customFormat="1" ht="18.75" customHeight="1">
      <c r="A333" s="24" t="s">
        <v>2945</v>
      </c>
      <c r="B333" s="25" t="s">
        <v>2946</v>
      </c>
      <c r="C333" s="25"/>
      <c r="D333" s="25"/>
      <c r="E333" s="26" t="s">
        <v>2947</v>
      </c>
      <c r="F333" s="26"/>
      <c r="G333" s="26"/>
      <c r="H333" s="26"/>
      <c r="I333" s="26"/>
      <c r="J333" s="27" t="s">
        <v>2056</v>
      </c>
      <c r="K333" s="27"/>
      <c r="L333" s="27"/>
      <c r="M333" s="27"/>
      <c r="N333" s="28">
        <f>1122</f>
        <v>1122</v>
      </c>
      <c r="O333" s="28"/>
      <c r="P333" s="28"/>
      <c r="Q333" s="27" t="s">
        <v>2032</v>
      </c>
      <c r="R333" s="27"/>
      <c r="S333" s="29" t="s">
        <v>2032</v>
      </c>
      <c r="T333" s="29"/>
      <c r="U333" s="29"/>
      <c r="V333" s="29"/>
      <c r="W333" s="30" t="s">
        <v>2032</v>
      </c>
      <c r="X333" s="29" t="s">
        <v>2032</v>
      </c>
      <c r="Y333" s="29"/>
      <c r="Z333" s="29"/>
      <c r="AA333" s="29"/>
      <c r="AB333" s="27" t="s">
        <v>2056</v>
      </c>
      <c r="AC333" s="27"/>
      <c r="AD333" s="27"/>
      <c r="AE333" s="31">
        <f>1122</f>
        <v>1122</v>
      </c>
      <c r="AF333" s="31"/>
      <c r="AG333" s="31"/>
    </row>
    <row r="334" spans="1:33" s="1" customFormat="1" ht="18.75" customHeight="1">
      <c r="A334" s="24" t="s">
        <v>2948</v>
      </c>
      <c r="B334" s="25" t="s">
        <v>2949</v>
      </c>
      <c r="C334" s="25"/>
      <c r="D334" s="25"/>
      <c r="E334" s="26" t="s">
        <v>2950</v>
      </c>
      <c r="F334" s="26"/>
      <c r="G334" s="26"/>
      <c r="H334" s="26"/>
      <c r="I334" s="26"/>
      <c r="J334" s="27" t="s">
        <v>2057</v>
      </c>
      <c r="K334" s="27"/>
      <c r="L334" s="27"/>
      <c r="M334" s="27"/>
      <c r="N334" s="28">
        <f>146.12</f>
        <v>146.12</v>
      </c>
      <c r="O334" s="28"/>
      <c r="P334" s="28"/>
      <c r="Q334" s="27" t="s">
        <v>2032</v>
      </c>
      <c r="R334" s="27"/>
      <c r="S334" s="29" t="s">
        <v>2032</v>
      </c>
      <c r="T334" s="29"/>
      <c r="U334" s="29"/>
      <c r="V334" s="29"/>
      <c r="W334" s="30" t="s">
        <v>2032</v>
      </c>
      <c r="X334" s="29" t="s">
        <v>2032</v>
      </c>
      <c r="Y334" s="29"/>
      <c r="Z334" s="29"/>
      <c r="AA334" s="29"/>
      <c r="AB334" s="27" t="s">
        <v>2057</v>
      </c>
      <c r="AC334" s="27"/>
      <c r="AD334" s="27"/>
      <c r="AE334" s="31">
        <f>146.12</f>
        <v>146.12</v>
      </c>
      <c r="AF334" s="31"/>
      <c r="AG334" s="31"/>
    </row>
    <row r="335" spans="1:33" s="1" customFormat="1" ht="18.75" customHeight="1">
      <c r="A335" s="24" t="s">
        <v>2951</v>
      </c>
      <c r="B335" s="25" t="s">
        <v>2588</v>
      </c>
      <c r="C335" s="25"/>
      <c r="D335" s="25"/>
      <c r="E335" s="26" t="s">
        <v>2952</v>
      </c>
      <c r="F335" s="26"/>
      <c r="G335" s="26"/>
      <c r="H335" s="26"/>
      <c r="I335" s="26"/>
      <c r="J335" s="27" t="s">
        <v>2056</v>
      </c>
      <c r="K335" s="27"/>
      <c r="L335" s="27"/>
      <c r="M335" s="27"/>
      <c r="N335" s="28">
        <f>73.04</f>
        <v>73.04</v>
      </c>
      <c r="O335" s="28"/>
      <c r="P335" s="28"/>
      <c r="Q335" s="27" t="s">
        <v>2032</v>
      </c>
      <c r="R335" s="27"/>
      <c r="S335" s="29" t="s">
        <v>2032</v>
      </c>
      <c r="T335" s="29"/>
      <c r="U335" s="29"/>
      <c r="V335" s="29"/>
      <c r="W335" s="30" t="s">
        <v>2032</v>
      </c>
      <c r="X335" s="29" t="s">
        <v>2032</v>
      </c>
      <c r="Y335" s="29"/>
      <c r="Z335" s="29"/>
      <c r="AA335" s="29"/>
      <c r="AB335" s="27" t="s">
        <v>2056</v>
      </c>
      <c r="AC335" s="27"/>
      <c r="AD335" s="27"/>
      <c r="AE335" s="31">
        <f>73.04</f>
        <v>73.04</v>
      </c>
      <c r="AF335" s="31"/>
      <c r="AG335" s="31"/>
    </row>
    <row r="336" spans="1:33" s="1" customFormat="1" ht="18.75" customHeight="1">
      <c r="A336" s="24" t="s">
        <v>2953</v>
      </c>
      <c r="B336" s="25" t="s">
        <v>2954</v>
      </c>
      <c r="C336" s="25"/>
      <c r="D336" s="25"/>
      <c r="E336" s="26" t="s">
        <v>2955</v>
      </c>
      <c r="F336" s="26"/>
      <c r="G336" s="26"/>
      <c r="H336" s="26"/>
      <c r="I336" s="26"/>
      <c r="J336" s="27" t="s">
        <v>2056</v>
      </c>
      <c r="K336" s="27"/>
      <c r="L336" s="27"/>
      <c r="M336" s="27"/>
      <c r="N336" s="28">
        <f>73.06</f>
        <v>73.06</v>
      </c>
      <c r="O336" s="28"/>
      <c r="P336" s="28"/>
      <c r="Q336" s="27" t="s">
        <v>2032</v>
      </c>
      <c r="R336" s="27"/>
      <c r="S336" s="29" t="s">
        <v>2032</v>
      </c>
      <c r="T336" s="29"/>
      <c r="U336" s="29"/>
      <c r="V336" s="29"/>
      <c r="W336" s="30" t="s">
        <v>2032</v>
      </c>
      <c r="X336" s="29" t="s">
        <v>2032</v>
      </c>
      <c r="Y336" s="29"/>
      <c r="Z336" s="29"/>
      <c r="AA336" s="29"/>
      <c r="AB336" s="27" t="s">
        <v>2056</v>
      </c>
      <c r="AC336" s="27"/>
      <c r="AD336" s="27"/>
      <c r="AE336" s="31">
        <f>73.06</f>
        <v>73.06</v>
      </c>
      <c r="AF336" s="31"/>
      <c r="AG336" s="31"/>
    </row>
    <row r="337" spans="1:33" s="1" customFormat="1" ht="18.75" customHeight="1">
      <c r="A337" s="24" t="s">
        <v>2956</v>
      </c>
      <c r="B337" s="25" t="s">
        <v>2898</v>
      </c>
      <c r="C337" s="25"/>
      <c r="D337" s="25"/>
      <c r="E337" s="26" t="s">
        <v>2957</v>
      </c>
      <c r="F337" s="26"/>
      <c r="G337" s="26"/>
      <c r="H337" s="26"/>
      <c r="I337" s="26"/>
      <c r="J337" s="27" t="s">
        <v>2056</v>
      </c>
      <c r="K337" s="27"/>
      <c r="L337" s="27"/>
      <c r="M337" s="27"/>
      <c r="N337" s="28">
        <f>365.31</f>
        <v>365.31</v>
      </c>
      <c r="O337" s="28"/>
      <c r="P337" s="28"/>
      <c r="Q337" s="27" t="s">
        <v>2032</v>
      </c>
      <c r="R337" s="27"/>
      <c r="S337" s="29" t="s">
        <v>2032</v>
      </c>
      <c r="T337" s="29"/>
      <c r="U337" s="29"/>
      <c r="V337" s="29"/>
      <c r="W337" s="30" t="s">
        <v>2032</v>
      </c>
      <c r="X337" s="29" t="s">
        <v>2032</v>
      </c>
      <c r="Y337" s="29"/>
      <c r="Z337" s="29"/>
      <c r="AA337" s="29"/>
      <c r="AB337" s="27" t="s">
        <v>2056</v>
      </c>
      <c r="AC337" s="27"/>
      <c r="AD337" s="27"/>
      <c r="AE337" s="31">
        <f>365.31</f>
        <v>365.31</v>
      </c>
      <c r="AF337" s="31"/>
      <c r="AG337" s="31"/>
    </row>
    <row r="338" spans="1:33" s="1" customFormat="1" ht="33" customHeight="1">
      <c r="A338" s="24" t="s">
        <v>2958</v>
      </c>
      <c r="B338" s="25" t="s">
        <v>2959</v>
      </c>
      <c r="C338" s="25"/>
      <c r="D338" s="25"/>
      <c r="E338" s="26" t="s">
        <v>2960</v>
      </c>
      <c r="F338" s="26"/>
      <c r="G338" s="26"/>
      <c r="H338" s="26"/>
      <c r="I338" s="26"/>
      <c r="J338" s="27" t="s">
        <v>2056</v>
      </c>
      <c r="K338" s="27"/>
      <c r="L338" s="27"/>
      <c r="M338" s="27"/>
      <c r="N338" s="28">
        <f>365.32</f>
        <v>365.32</v>
      </c>
      <c r="O338" s="28"/>
      <c r="P338" s="28"/>
      <c r="Q338" s="27" t="s">
        <v>2032</v>
      </c>
      <c r="R338" s="27"/>
      <c r="S338" s="29" t="s">
        <v>2032</v>
      </c>
      <c r="T338" s="29"/>
      <c r="U338" s="29"/>
      <c r="V338" s="29"/>
      <c r="W338" s="30" t="s">
        <v>2032</v>
      </c>
      <c r="X338" s="29" t="s">
        <v>2032</v>
      </c>
      <c r="Y338" s="29"/>
      <c r="Z338" s="29"/>
      <c r="AA338" s="29"/>
      <c r="AB338" s="27" t="s">
        <v>2056</v>
      </c>
      <c r="AC338" s="27"/>
      <c r="AD338" s="27"/>
      <c r="AE338" s="31">
        <f>365.32</f>
        <v>365.32</v>
      </c>
      <c r="AF338" s="31"/>
      <c r="AG338" s="31"/>
    </row>
    <row r="339" spans="1:33" s="1" customFormat="1" ht="33" customHeight="1">
      <c r="A339" s="24" t="s">
        <v>2961</v>
      </c>
      <c r="B339" s="25" t="s">
        <v>2962</v>
      </c>
      <c r="C339" s="25"/>
      <c r="D339" s="25"/>
      <c r="E339" s="26" t="s">
        <v>2963</v>
      </c>
      <c r="F339" s="26"/>
      <c r="G339" s="26"/>
      <c r="H339" s="26"/>
      <c r="I339" s="26"/>
      <c r="J339" s="27" t="s">
        <v>2057</v>
      </c>
      <c r="K339" s="27"/>
      <c r="L339" s="27"/>
      <c r="M339" s="27"/>
      <c r="N339" s="28">
        <f>2680</f>
        <v>2680</v>
      </c>
      <c r="O339" s="28"/>
      <c r="P339" s="28"/>
      <c r="Q339" s="27" t="s">
        <v>2032</v>
      </c>
      <c r="R339" s="27"/>
      <c r="S339" s="29" t="s">
        <v>2032</v>
      </c>
      <c r="T339" s="29"/>
      <c r="U339" s="29"/>
      <c r="V339" s="29"/>
      <c r="W339" s="30" t="s">
        <v>2032</v>
      </c>
      <c r="X339" s="29" t="s">
        <v>2032</v>
      </c>
      <c r="Y339" s="29"/>
      <c r="Z339" s="29"/>
      <c r="AA339" s="29"/>
      <c r="AB339" s="27" t="s">
        <v>2057</v>
      </c>
      <c r="AC339" s="27"/>
      <c r="AD339" s="27"/>
      <c r="AE339" s="31">
        <f>2680</f>
        <v>2680</v>
      </c>
      <c r="AF339" s="31"/>
      <c r="AG339" s="31"/>
    </row>
    <row r="340" spans="1:33" s="1" customFormat="1" ht="18.75" customHeight="1">
      <c r="A340" s="24" t="s">
        <v>2964</v>
      </c>
      <c r="B340" s="25" t="s">
        <v>2965</v>
      </c>
      <c r="C340" s="25"/>
      <c r="D340" s="25"/>
      <c r="E340" s="26" t="s">
        <v>2966</v>
      </c>
      <c r="F340" s="26"/>
      <c r="G340" s="26"/>
      <c r="H340" s="26"/>
      <c r="I340" s="26"/>
      <c r="J340" s="27" t="s">
        <v>2056</v>
      </c>
      <c r="K340" s="27"/>
      <c r="L340" s="27"/>
      <c r="M340" s="27"/>
      <c r="N340" s="28">
        <f>584.51</f>
        <v>584.51</v>
      </c>
      <c r="O340" s="28"/>
      <c r="P340" s="28"/>
      <c r="Q340" s="27" t="s">
        <v>2032</v>
      </c>
      <c r="R340" s="27"/>
      <c r="S340" s="29" t="s">
        <v>2032</v>
      </c>
      <c r="T340" s="29"/>
      <c r="U340" s="29"/>
      <c r="V340" s="29"/>
      <c r="W340" s="30" t="s">
        <v>2032</v>
      </c>
      <c r="X340" s="29" t="s">
        <v>2032</v>
      </c>
      <c r="Y340" s="29"/>
      <c r="Z340" s="29"/>
      <c r="AA340" s="29"/>
      <c r="AB340" s="27" t="s">
        <v>2056</v>
      </c>
      <c r="AC340" s="27"/>
      <c r="AD340" s="27"/>
      <c r="AE340" s="31">
        <f>584.51</f>
        <v>584.51</v>
      </c>
      <c r="AF340" s="31"/>
      <c r="AG340" s="31"/>
    </row>
    <row r="341" spans="1:33" s="1" customFormat="1" ht="18.75" customHeight="1">
      <c r="A341" s="24" t="s">
        <v>2967</v>
      </c>
      <c r="B341" s="25" t="s">
        <v>2968</v>
      </c>
      <c r="C341" s="25"/>
      <c r="D341" s="25"/>
      <c r="E341" s="26" t="s">
        <v>2969</v>
      </c>
      <c r="F341" s="26"/>
      <c r="G341" s="26"/>
      <c r="H341" s="26"/>
      <c r="I341" s="26"/>
      <c r="J341" s="27" t="s">
        <v>2056</v>
      </c>
      <c r="K341" s="27"/>
      <c r="L341" s="27"/>
      <c r="M341" s="27"/>
      <c r="N341" s="28">
        <f>325</f>
        <v>325</v>
      </c>
      <c r="O341" s="28"/>
      <c r="P341" s="28"/>
      <c r="Q341" s="27" t="s">
        <v>2032</v>
      </c>
      <c r="R341" s="27"/>
      <c r="S341" s="29" t="s">
        <v>2032</v>
      </c>
      <c r="T341" s="29"/>
      <c r="U341" s="29"/>
      <c r="V341" s="29"/>
      <c r="W341" s="30" t="s">
        <v>2032</v>
      </c>
      <c r="X341" s="29" t="s">
        <v>2032</v>
      </c>
      <c r="Y341" s="29"/>
      <c r="Z341" s="29"/>
      <c r="AA341" s="29"/>
      <c r="AB341" s="27" t="s">
        <v>2056</v>
      </c>
      <c r="AC341" s="27"/>
      <c r="AD341" s="27"/>
      <c r="AE341" s="31">
        <f>325</f>
        <v>325</v>
      </c>
      <c r="AF341" s="31"/>
      <c r="AG341" s="31"/>
    </row>
    <row r="342" spans="1:33" s="1" customFormat="1" ht="33" customHeight="1">
      <c r="A342" s="24" t="s">
        <v>2970</v>
      </c>
      <c r="B342" s="25" t="s">
        <v>2971</v>
      </c>
      <c r="C342" s="25"/>
      <c r="D342" s="25"/>
      <c r="E342" s="26" t="s">
        <v>2972</v>
      </c>
      <c r="F342" s="26"/>
      <c r="G342" s="26"/>
      <c r="H342" s="26"/>
      <c r="I342" s="26"/>
      <c r="J342" s="27" t="s">
        <v>2056</v>
      </c>
      <c r="K342" s="27"/>
      <c r="L342" s="27"/>
      <c r="M342" s="27"/>
      <c r="N342" s="28">
        <f>1950</f>
        <v>1950</v>
      </c>
      <c r="O342" s="28"/>
      <c r="P342" s="28"/>
      <c r="Q342" s="27" t="s">
        <v>2032</v>
      </c>
      <c r="R342" s="27"/>
      <c r="S342" s="29" t="s">
        <v>2032</v>
      </c>
      <c r="T342" s="29"/>
      <c r="U342" s="29"/>
      <c r="V342" s="29"/>
      <c r="W342" s="30" t="s">
        <v>2032</v>
      </c>
      <c r="X342" s="29" t="s">
        <v>2032</v>
      </c>
      <c r="Y342" s="29"/>
      <c r="Z342" s="29"/>
      <c r="AA342" s="29"/>
      <c r="AB342" s="27" t="s">
        <v>2056</v>
      </c>
      <c r="AC342" s="27"/>
      <c r="AD342" s="27"/>
      <c r="AE342" s="31">
        <f>1950</f>
        <v>1950</v>
      </c>
      <c r="AF342" s="31"/>
      <c r="AG342" s="31"/>
    </row>
    <row r="343" spans="1:33" s="1" customFormat="1" ht="33" customHeight="1">
      <c r="A343" s="24" t="s">
        <v>2973</v>
      </c>
      <c r="B343" s="25" t="s">
        <v>2974</v>
      </c>
      <c r="C343" s="25"/>
      <c r="D343" s="25"/>
      <c r="E343" s="26" t="s">
        <v>2975</v>
      </c>
      <c r="F343" s="26"/>
      <c r="G343" s="26"/>
      <c r="H343" s="26"/>
      <c r="I343" s="26"/>
      <c r="J343" s="27" t="s">
        <v>2056</v>
      </c>
      <c r="K343" s="27"/>
      <c r="L343" s="27"/>
      <c r="M343" s="27"/>
      <c r="N343" s="28">
        <f>73.06</f>
        <v>73.06</v>
      </c>
      <c r="O343" s="28"/>
      <c r="P343" s="28"/>
      <c r="Q343" s="27" t="s">
        <v>2032</v>
      </c>
      <c r="R343" s="27"/>
      <c r="S343" s="29" t="s">
        <v>2032</v>
      </c>
      <c r="T343" s="29"/>
      <c r="U343" s="29"/>
      <c r="V343" s="29"/>
      <c r="W343" s="30" t="s">
        <v>2032</v>
      </c>
      <c r="X343" s="29" t="s">
        <v>2032</v>
      </c>
      <c r="Y343" s="29"/>
      <c r="Z343" s="29"/>
      <c r="AA343" s="29"/>
      <c r="AB343" s="27" t="s">
        <v>2056</v>
      </c>
      <c r="AC343" s="27"/>
      <c r="AD343" s="27"/>
      <c r="AE343" s="31">
        <f>73.06</f>
        <v>73.06</v>
      </c>
      <c r="AF343" s="31"/>
      <c r="AG343" s="31"/>
    </row>
    <row r="344" spans="1:33" s="1" customFormat="1" ht="33" customHeight="1">
      <c r="A344" s="24" t="s">
        <v>2976</v>
      </c>
      <c r="B344" s="25" t="s">
        <v>2977</v>
      </c>
      <c r="C344" s="25"/>
      <c r="D344" s="25"/>
      <c r="E344" s="26" t="s">
        <v>2978</v>
      </c>
      <c r="F344" s="26"/>
      <c r="G344" s="26"/>
      <c r="H344" s="26"/>
      <c r="I344" s="26"/>
      <c r="J344" s="27" t="s">
        <v>2093</v>
      </c>
      <c r="K344" s="27"/>
      <c r="L344" s="27"/>
      <c r="M344" s="27"/>
      <c r="N344" s="28">
        <f>2269.05</f>
        <v>2269.05</v>
      </c>
      <c r="O344" s="28"/>
      <c r="P344" s="28"/>
      <c r="Q344" s="27" t="s">
        <v>2032</v>
      </c>
      <c r="R344" s="27"/>
      <c r="S344" s="29" t="s">
        <v>2032</v>
      </c>
      <c r="T344" s="29"/>
      <c r="U344" s="29"/>
      <c r="V344" s="29"/>
      <c r="W344" s="30" t="s">
        <v>2032</v>
      </c>
      <c r="X344" s="29" t="s">
        <v>2032</v>
      </c>
      <c r="Y344" s="29"/>
      <c r="Z344" s="29"/>
      <c r="AA344" s="29"/>
      <c r="AB344" s="27" t="s">
        <v>2093</v>
      </c>
      <c r="AC344" s="27"/>
      <c r="AD344" s="27"/>
      <c r="AE344" s="31">
        <f>2269.05</f>
        <v>2269.05</v>
      </c>
      <c r="AF344" s="31"/>
      <c r="AG344" s="31"/>
    </row>
    <row r="345" spans="1:33" s="1" customFormat="1" ht="18.75" customHeight="1">
      <c r="A345" s="24" t="s">
        <v>2979</v>
      </c>
      <c r="B345" s="25" t="s">
        <v>2980</v>
      </c>
      <c r="C345" s="25"/>
      <c r="D345" s="25"/>
      <c r="E345" s="26" t="s">
        <v>2981</v>
      </c>
      <c r="F345" s="26"/>
      <c r="G345" s="26"/>
      <c r="H345" s="26"/>
      <c r="I345" s="26"/>
      <c r="J345" s="27" t="s">
        <v>2056</v>
      </c>
      <c r="K345" s="27"/>
      <c r="L345" s="27"/>
      <c r="M345" s="27"/>
      <c r="N345" s="28">
        <f>1586</f>
        <v>1586</v>
      </c>
      <c r="O345" s="28"/>
      <c r="P345" s="28"/>
      <c r="Q345" s="27" t="s">
        <v>2032</v>
      </c>
      <c r="R345" s="27"/>
      <c r="S345" s="29" t="s">
        <v>2032</v>
      </c>
      <c r="T345" s="29"/>
      <c r="U345" s="29"/>
      <c r="V345" s="29"/>
      <c r="W345" s="30" t="s">
        <v>2032</v>
      </c>
      <c r="X345" s="29" t="s">
        <v>2032</v>
      </c>
      <c r="Y345" s="29"/>
      <c r="Z345" s="29"/>
      <c r="AA345" s="29"/>
      <c r="AB345" s="27" t="s">
        <v>2056</v>
      </c>
      <c r="AC345" s="27"/>
      <c r="AD345" s="27"/>
      <c r="AE345" s="31">
        <f>1586</f>
        <v>1586</v>
      </c>
      <c r="AF345" s="31"/>
      <c r="AG345" s="31"/>
    </row>
    <row r="346" spans="1:33" s="1" customFormat="1" ht="18.75" customHeight="1">
      <c r="A346" s="24" t="s">
        <v>2982</v>
      </c>
      <c r="B346" s="25" t="s">
        <v>2983</v>
      </c>
      <c r="C346" s="25"/>
      <c r="D346" s="25"/>
      <c r="E346" s="26" t="s">
        <v>2984</v>
      </c>
      <c r="F346" s="26"/>
      <c r="G346" s="26"/>
      <c r="H346" s="26"/>
      <c r="I346" s="26"/>
      <c r="J346" s="27" t="s">
        <v>2056</v>
      </c>
      <c r="K346" s="27"/>
      <c r="L346" s="27"/>
      <c r="M346" s="27"/>
      <c r="N346" s="28">
        <f>73.06</f>
        <v>73.06</v>
      </c>
      <c r="O346" s="28"/>
      <c r="P346" s="28"/>
      <c r="Q346" s="27" t="s">
        <v>2032</v>
      </c>
      <c r="R346" s="27"/>
      <c r="S346" s="29" t="s">
        <v>2032</v>
      </c>
      <c r="T346" s="29"/>
      <c r="U346" s="29"/>
      <c r="V346" s="29"/>
      <c r="W346" s="30" t="s">
        <v>2032</v>
      </c>
      <c r="X346" s="29" t="s">
        <v>2032</v>
      </c>
      <c r="Y346" s="29"/>
      <c r="Z346" s="29"/>
      <c r="AA346" s="29"/>
      <c r="AB346" s="27" t="s">
        <v>2056</v>
      </c>
      <c r="AC346" s="27"/>
      <c r="AD346" s="27"/>
      <c r="AE346" s="31">
        <f>73.06</f>
        <v>73.06</v>
      </c>
      <c r="AF346" s="31"/>
      <c r="AG346" s="31"/>
    </row>
    <row r="347" spans="1:33" s="1" customFormat="1" ht="18.75" customHeight="1">
      <c r="A347" s="24" t="s">
        <v>2985</v>
      </c>
      <c r="B347" s="25" t="s">
        <v>2986</v>
      </c>
      <c r="C347" s="25"/>
      <c r="D347" s="25"/>
      <c r="E347" s="26" t="s">
        <v>2987</v>
      </c>
      <c r="F347" s="26"/>
      <c r="G347" s="26"/>
      <c r="H347" s="26"/>
      <c r="I347" s="26"/>
      <c r="J347" s="27" t="s">
        <v>2056</v>
      </c>
      <c r="K347" s="27"/>
      <c r="L347" s="27"/>
      <c r="M347" s="27"/>
      <c r="N347" s="28">
        <f>73.06</f>
        <v>73.06</v>
      </c>
      <c r="O347" s="28"/>
      <c r="P347" s="28"/>
      <c r="Q347" s="27" t="s">
        <v>2032</v>
      </c>
      <c r="R347" s="27"/>
      <c r="S347" s="29" t="s">
        <v>2032</v>
      </c>
      <c r="T347" s="29"/>
      <c r="U347" s="29"/>
      <c r="V347" s="29"/>
      <c r="W347" s="30" t="s">
        <v>2032</v>
      </c>
      <c r="X347" s="29" t="s">
        <v>2032</v>
      </c>
      <c r="Y347" s="29"/>
      <c r="Z347" s="29"/>
      <c r="AA347" s="29"/>
      <c r="AB347" s="27" t="s">
        <v>2056</v>
      </c>
      <c r="AC347" s="27"/>
      <c r="AD347" s="27"/>
      <c r="AE347" s="31">
        <f>73.06</f>
        <v>73.06</v>
      </c>
      <c r="AF347" s="31"/>
      <c r="AG347" s="31"/>
    </row>
    <row r="348" spans="1:33" s="1" customFormat="1" ht="18.75" customHeight="1">
      <c r="A348" s="24" t="s">
        <v>2988</v>
      </c>
      <c r="B348" s="25" t="s">
        <v>2989</v>
      </c>
      <c r="C348" s="25"/>
      <c r="D348" s="25"/>
      <c r="E348" s="26" t="s">
        <v>2990</v>
      </c>
      <c r="F348" s="26"/>
      <c r="G348" s="26"/>
      <c r="H348" s="26"/>
      <c r="I348" s="26"/>
      <c r="J348" s="27" t="s">
        <v>2060</v>
      </c>
      <c r="K348" s="27"/>
      <c r="L348" s="27"/>
      <c r="M348" s="27"/>
      <c r="N348" s="28">
        <f>700</f>
        <v>700</v>
      </c>
      <c r="O348" s="28"/>
      <c r="P348" s="28"/>
      <c r="Q348" s="27" t="s">
        <v>2032</v>
      </c>
      <c r="R348" s="27"/>
      <c r="S348" s="29" t="s">
        <v>2032</v>
      </c>
      <c r="T348" s="29"/>
      <c r="U348" s="29"/>
      <c r="V348" s="29"/>
      <c r="W348" s="30" t="s">
        <v>2032</v>
      </c>
      <c r="X348" s="29" t="s">
        <v>2032</v>
      </c>
      <c r="Y348" s="29"/>
      <c r="Z348" s="29"/>
      <c r="AA348" s="29"/>
      <c r="AB348" s="27" t="s">
        <v>2060</v>
      </c>
      <c r="AC348" s="27"/>
      <c r="AD348" s="27"/>
      <c r="AE348" s="31">
        <f>700</f>
        <v>700</v>
      </c>
      <c r="AF348" s="31"/>
      <c r="AG348" s="31"/>
    </row>
    <row r="349" spans="1:33" s="1" customFormat="1" ht="18.75" customHeight="1">
      <c r="A349" s="24" t="s">
        <v>2991</v>
      </c>
      <c r="B349" s="25" t="s">
        <v>2992</v>
      </c>
      <c r="C349" s="25"/>
      <c r="D349" s="25"/>
      <c r="E349" s="26" t="s">
        <v>2993</v>
      </c>
      <c r="F349" s="26"/>
      <c r="G349" s="26"/>
      <c r="H349" s="26"/>
      <c r="I349" s="26"/>
      <c r="J349" s="27" t="s">
        <v>2056</v>
      </c>
      <c r="K349" s="27"/>
      <c r="L349" s="27"/>
      <c r="M349" s="27"/>
      <c r="N349" s="28">
        <f>73.06</f>
        <v>73.06</v>
      </c>
      <c r="O349" s="28"/>
      <c r="P349" s="28"/>
      <c r="Q349" s="27" t="s">
        <v>2032</v>
      </c>
      <c r="R349" s="27"/>
      <c r="S349" s="29" t="s">
        <v>2032</v>
      </c>
      <c r="T349" s="29"/>
      <c r="U349" s="29"/>
      <c r="V349" s="29"/>
      <c r="W349" s="30" t="s">
        <v>2032</v>
      </c>
      <c r="X349" s="29" t="s">
        <v>2032</v>
      </c>
      <c r="Y349" s="29"/>
      <c r="Z349" s="29"/>
      <c r="AA349" s="29"/>
      <c r="AB349" s="27" t="s">
        <v>2056</v>
      </c>
      <c r="AC349" s="27"/>
      <c r="AD349" s="27"/>
      <c r="AE349" s="31">
        <f>73.06</f>
        <v>73.06</v>
      </c>
      <c r="AF349" s="31"/>
      <c r="AG349" s="31"/>
    </row>
    <row r="350" spans="1:33" s="1" customFormat="1" ht="18.75" customHeight="1">
      <c r="A350" s="24" t="s">
        <v>2994</v>
      </c>
      <c r="B350" s="25" t="s">
        <v>2995</v>
      </c>
      <c r="C350" s="25"/>
      <c r="D350" s="25"/>
      <c r="E350" s="26" t="s">
        <v>2996</v>
      </c>
      <c r="F350" s="26"/>
      <c r="G350" s="26"/>
      <c r="H350" s="26"/>
      <c r="I350" s="26"/>
      <c r="J350" s="27" t="s">
        <v>2056</v>
      </c>
      <c r="K350" s="27"/>
      <c r="L350" s="27"/>
      <c r="M350" s="27"/>
      <c r="N350" s="28">
        <f>360.02</f>
        <v>360.02</v>
      </c>
      <c r="O350" s="28"/>
      <c r="P350" s="28"/>
      <c r="Q350" s="27" t="s">
        <v>2032</v>
      </c>
      <c r="R350" s="27"/>
      <c r="S350" s="29" t="s">
        <v>2032</v>
      </c>
      <c r="T350" s="29"/>
      <c r="U350" s="29"/>
      <c r="V350" s="29"/>
      <c r="W350" s="30" t="s">
        <v>2032</v>
      </c>
      <c r="X350" s="29" t="s">
        <v>2032</v>
      </c>
      <c r="Y350" s="29"/>
      <c r="Z350" s="29"/>
      <c r="AA350" s="29"/>
      <c r="AB350" s="27" t="s">
        <v>2056</v>
      </c>
      <c r="AC350" s="27"/>
      <c r="AD350" s="27"/>
      <c r="AE350" s="31">
        <f>360.02</f>
        <v>360.02</v>
      </c>
      <c r="AF350" s="31"/>
      <c r="AG350" s="31"/>
    </row>
    <row r="351" spans="1:33" s="1" customFormat="1" ht="18.75" customHeight="1">
      <c r="A351" s="24" t="s">
        <v>2997</v>
      </c>
      <c r="B351" s="25" t="s">
        <v>2998</v>
      </c>
      <c r="C351" s="25"/>
      <c r="D351" s="25"/>
      <c r="E351" s="26" t="s">
        <v>2999</v>
      </c>
      <c r="F351" s="26"/>
      <c r="G351" s="26"/>
      <c r="H351" s="26"/>
      <c r="I351" s="26"/>
      <c r="J351" s="27" t="s">
        <v>2056</v>
      </c>
      <c r="K351" s="27"/>
      <c r="L351" s="27"/>
      <c r="M351" s="27"/>
      <c r="N351" s="28">
        <f>445</f>
        <v>445</v>
      </c>
      <c r="O351" s="28"/>
      <c r="P351" s="28"/>
      <c r="Q351" s="27" t="s">
        <v>2032</v>
      </c>
      <c r="R351" s="27"/>
      <c r="S351" s="29" t="s">
        <v>2032</v>
      </c>
      <c r="T351" s="29"/>
      <c r="U351" s="29"/>
      <c r="V351" s="29"/>
      <c r="W351" s="30" t="s">
        <v>2032</v>
      </c>
      <c r="X351" s="29" t="s">
        <v>2032</v>
      </c>
      <c r="Y351" s="29"/>
      <c r="Z351" s="29"/>
      <c r="AA351" s="29"/>
      <c r="AB351" s="27" t="s">
        <v>2056</v>
      </c>
      <c r="AC351" s="27"/>
      <c r="AD351" s="27"/>
      <c r="AE351" s="31">
        <f>445</f>
        <v>445</v>
      </c>
      <c r="AF351" s="31"/>
      <c r="AG351" s="31"/>
    </row>
    <row r="352" spans="1:33" s="1" customFormat="1" ht="33" customHeight="1">
      <c r="A352" s="24" t="s">
        <v>3000</v>
      </c>
      <c r="B352" s="25" t="s">
        <v>3001</v>
      </c>
      <c r="C352" s="25"/>
      <c r="D352" s="25"/>
      <c r="E352" s="26" t="s">
        <v>3002</v>
      </c>
      <c r="F352" s="26"/>
      <c r="G352" s="26"/>
      <c r="H352" s="26"/>
      <c r="I352" s="26"/>
      <c r="J352" s="27" t="s">
        <v>2085</v>
      </c>
      <c r="K352" s="27"/>
      <c r="L352" s="27"/>
      <c r="M352" s="27"/>
      <c r="N352" s="28">
        <f>2640.84</f>
        <v>2640.84</v>
      </c>
      <c r="O352" s="28"/>
      <c r="P352" s="28"/>
      <c r="Q352" s="27" t="s">
        <v>2032</v>
      </c>
      <c r="R352" s="27"/>
      <c r="S352" s="29" t="s">
        <v>2032</v>
      </c>
      <c r="T352" s="29"/>
      <c r="U352" s="29"/>
      <c r="V352" s="29"/>
      <c r="W352" s="30" t="s">
        <v>2032</v>
      </c>
      <c r="X352" s="29" t="s">
        <v>2032</v>
      </c>
      <c r="Y352" s="29"/>
      <c r="Z352" s="29"/>
      <c r="AA352" s="29"/>
      <c r="AB352" s="27" t="s">
        <v>2085</v>
      </c>
      <c r="AC352" s="27"/>
      <c r="AD352" s="27"/>
      <c r="AE352" s="31">
        <f>2640.84</f>
        <v>2640.84</v>
      </c>
      <c r="AF352" s="31"/>
      <c r="AG352" s="31"/>
    </row>
    <row r="353" spans="1:33" s="1" customFormat="1" ht="18.75" customHeight="1">
      <c r="A353" s="24" t="s">
        <v>3003</v>
      </c>
      <c r="B353" s="25" t="s">
        <v>3004</v>
      </c>
      <c r="C353" s="25"/>
      <c r="D353" s="25"/>
      <c r="E353" s="26" t="s">
        <v>3005</v>
      </c>
      <c r="F353" s="26"/>
      <c r="G353" s="26"/>
      <c r="H353" s="26"/>
      <c r="I353" s="26"/>
      <c r="J353" s="27" t="s">
        <v>2056</v>
      </c>
      <c r="K353" s="27"/>
      <c r="L353" s="27"/>
      <c r="M353" s="27"/>
      <c r="N353" s="28">
        <f>445</f>
        <v>445</v>
      </c>
      <c r="O353" s="28"/>
      <c r="P353" s="28"/>
      <c r="Q353" s="27" t="s">
        <v>2032</v>
      </c>
      <c r="R353" s="27"/>
      <c r="S353" s="29" t="s">
        <v>2032</v>
      </c>
      <c r="T353" s="29"/>
      <c r="U353" s="29"/>
      <c r="V353" s="29"/>
      <c r="W353" s="30" t="s">
        <v>2032</v>
      </c>
      <c r="X353" s="29" t="s">
        <v>2032</v>
      </c>
      <c r="Y353" s="29"/>
      <c r="Z353" s="29"/>
      <c r="AA353" s="29"/>
      <c r="AB353" s="27" t="s">
        <v>2056</v>
      </c>
      <c r="AC353" s="27"/>
      <c r="AD353" s="27"/>
      <c r="AE353" s="31">
        <f>445</f>
        <v>445</v>
      </c>
      <c r="AF353" s="31"/>
      <c r="AG353" s="31"/>
    </row>
    <row r="354" spans="1:33" s="1" customFormat="1" ht="33" customHeight="1">
      <c r="A354" s="24" t="s">
        <v>3006</v>
      </c>
      <c r="B354" s="25" t="s">
        <v>3007</v>
      </c>
      <c r="C354" s="25"/>
      <c r="D354" s="25"/>
      <c r="E354" s="26" t="s">
        <v>3008</v>
      </c>
      <c r="F354" s="26"/>
      <c r="G354" s="26"/>
      <c r="H354" s="26"/>
      <c r="I354" s="26"/>
      <c r="J354" s="27" t="s">
        <v>2090</v>
      </c>
      <c r="K354" s="27"/>
      <c r="L354" s="27"/>
      <c r="M354" s="27"/>
      <c r="N354" s="28">
        <f>3169.6</f>
        <v>3169.6</v>
      </c>
      <c r="O354" s="28"/>
      <c r="P354" s="28"/>
      <c r="Q354" s="27" t="s">
        <v>2032</v>
      </c>
      <c r="R354" s="27"/>
      <c r="S354" s="29" t="s">
        <v>2032</v>
      </c>
      <c r="T354" s="29"/>
      <c r="U354" s="29"/>
      <c r="V354" s="29"/>
      <c r="W354" s="30" t="s">
        <v>2032</v>
      </c>
      <c r="X354" s="29" t="s">
        <v>2032</v>
      </c>
      <c r="Y354" s="29"/>
      <c r="Z354" s="29"/>
      <c r="AA354" s="29"/>
      <c r="AB354" s="27" t="s">
        <v>2090</v>
      </c>
      <c r="AC354" s="27"/>
      <c r="AD354" s="27"/>
      <c r="AE354" s="31">
        <f>3169.6</f>
        <v>3169.6</v>
      </c>
      <c r="AF354" s="31"/>
      <c r="AG354" s="31"/>
    </row>
    <row r="355" spans="1:33" s="1" customFormat="1" ht="18.75" customHeight="1">
      <c r="A355" s="24" t="s">
        <v>3009</v>
      </c>
      <c r="B355" s="25" t="s">
        <v>3010</v>
      </c>
      <c r="C355" s="25"/>
      <c r="D355" s="25"/>
      <c r="E355" s="26" t="s">
        <v>3011</v>
      </c>
      <c r="F355" s="26"/>
      <c r="G355" s="26"/>
      <c r="H355" s="26"/>
      <c r="I355" s="26"/>
      <c r="J355" s="27" t="s">
        <v>2056</v>
      </c>
      <c r="K355" s="27"/>
      <c r="L355" s="27"/>
      <c r="M355" s="27"/>
      <c r="N355" s="28">
        <f>73.06</f>
        <v>73.06</v>
      </c>
      <c r="O355" s="28"/>
      <c r="P355" s="28"/>
      <c r="Q355" s="27" t="s">
        <v>2032</v>
      </c>
      <c r="R355" s="27"/>
      <c r="S355" s="29" t="s">
        <v>2032</v>
      </c>
      <c r="T355" s="29"/>
      <c r="U355" s="29"/>
      <c r="V355" s="29"/>
      <c r="W355" s="30" t="s">
        <v>2032</v>
      </c>
      <c r="X355" s="29" t="s">
        <v>2032</v>
      </c>
      <c r="Y355" s="29"/>
      <c r="Z355" s="29"/>
      <c r="AA355" s="29"/>
      <c r="AB355" s="27" t="s">
        <v>2056</v>
      </c>
      <c r="AC355" s="27"/>
      <c r="AD355" s="27"/>
      <c r="AE355" s="31">
        <f>73.06</f>
        <v>73.06</v>
      </c>
      <c r="AF355" s="31"/>
      <c r="AG355" s="31"/>
    </row>
    <row r="356" spans="1:33" s="1" customFormat="1" ht="18.75" customHeight="1">
      <c r="A356" s="24" t="s">
        <v>3012</v>
      </c>
      <c r="B356" s="25" t="s">
        <v>3013</v>
      </c>
      <c r="C356" s="25"/>
      <c r="D356" s="25"/>
      <c r="E356" s="26" t="s">
        <v>3014</v>
      </c>
      <c r="F356" s="26"/>
      <c r="G356" s="26"/>
      <c r="H356" s="26"/>
      <c r="I356" s="26"/>
      <c r="J356" s="27" t="s">
        <v>2057</v>
      </c>
      <c r="K356" s="27"/>
      <c r="L356" s="27"/>
      <c r="M356" s="27"/>
      <c r="N356" s="28">
        <f>146.12</f>
        <v>146.12</v>
      </c>
      <c r="O356" s="28"/>
      <c r="P356" s="28"/>
      <c r="Q356" s="27" t="s">
        <v>2032</v>
      </c>
      <c r="R356" s="27"/>
      <c r="S356" s="29" t="s">
        <v>2032</v>
      </c>
      <c r="T356" s="29"/>
      <c r="U356" s="29"/>
      <c r="V356" s="29"/>
      <c r="W356" s="30" t="s">
        <v>2032</v>
      </c>
      <c r="X356" s="29" t="s">
        <v>2032</v>
      </c>
      <c r="Y356" s="29"/>
      <c r="Z356" s="29"/>
      <c r="AA356" s="29"/>
      <c r="AB356" s="27" t="s">
        <v>2057</v>
      </c>
      <c r="AC356" s="27"/>
      <c r="AD356" s="27"/>
      <c r="AE356" s="31">
        <f>146.12</f>
        <v>146.12</v>
      </c>
      <c r="AF356" s="31"/>
      <c r="AG356" s="31"/>
    </row>
    <row r="357" spans="1:33" s="1" customFormat="1" ht="18.75" customHeight="1">
      <c r="A357" s="24" t="s">
        <v>3015</v>
      </c>
      <c r="B357" s="25" t="s">
        <v>3016</v>
      </c>
      <c r="C357" s="25"/>
      <c r="D357" s="25"/>
      <c r="E357" s="26" t="s">
        <v>3017</v>
      </c>
      <c r="F357" s="26"/>
      <c r="G357" s="26"/>
      <c r="H357" s="26"/>
      <c r="I357" s="26"/>
      <c r="J357" s="27" t="s">
        <v>2056</v>
      </c>
      <c r="K357" s="27"/>
      <c r="L357" s="27"/>
      <c r="M357" s="27"/>
      <c r="N357" s="28">
        <f>1600</f>
        <v>1600</v>
      </c>
      <c r="O357" s="28"/>
      <c r="P357" s="28"/>
      <c r="Q357" s="27" t="s">
        <v>2032</v>
      </c>
      <c r="R357" s="27"/>
      <c r="S357" s="29" t="s">
        <v>2032</v>
      </c>
      <c r="T357" s="29"/>
      <c r="U357" s="29"/>
      <c r="V357" s="29"/>
      <c r="W357" s="30" t="s">
        <v>2032</v>
      </c>
      <c r="X357" s="29" t="s">
        <v>2032</v>
      </c>
      <c r="Y357" s="29"/>
      <c r="Z357" s="29"/>
      <c r="AA357" s="29"/>
      <c r="AB357" s="27" t="s">
        <v>2056</v>
      </c>
      <c r="AC357" s="27"/>
      <c r="AD357" s="27"/>
      <c r="AE357" s="31">
        <f>1600</f>
        <v>1600</v>
      </c>
      <c r="AF357" s="31"/>
      <c r="AG357" s="31"/>
    </row>
    <row r="358" spans="1:33" s="1" customFormat="1" ht="18.75" customHeight="1">
      <c r="A358" s="24" t="s">
        <v>3018</v>
      </c>
      <c r="B358" s="25" t="s">
        <v>3019</v>
      </c>
      <c r="C358" s="25"/>
      <c r="D358" s="25"/>
      <c r="E358" s="26" t="s">
        <v>3020</v>
      </c>
      <c r="F358" s="26"/>
      <c r="G358" s="26"/>
      <c r="H358" s="26"/>
      <c r="I358" s="26"/>
      <c r="J358" s="27" t="s">
        <v>2058</v>
      </c>
      <c r="K358" s="27"/>
      <c r="L358" s="27"/>
      <c r="M358" s="27"/>
      <c r="N358" s="28">
        <f>2700</f>
        <v>2700</v>
      </c>
      <c r="O358" s="28"/>
      <c r="P358" s="28"/>
      <c r="Q358" s="27" t="s">
        <v>2032</v>
      </c>
      <c r="R358" s="27"/>
      <c r="S358" s="29" t="s">
        <v>2032</v>
      </c>
      <c r="T358" s="29"/>
      <c r="U358" s="29"/>
      <c r="V358" s="29"/>
      <c r="W358" s="30" t="s">
        <v>2032</v>
      </c>
      <c r="X358" s="29" t="s">
        <v>2032</v>
      </c>
      <c r="Y358" s="29"/>
      <c r="Z358" s="29"/>
      <c r="AA358" s="29"/>
      <c r="AB358" s="27" t="s">
        <v>2058</v>
      </c>
      <c r="AC358" s="27"/>
      <c r="AD358" s="27"/>
      <c r="AE358" s="31">
        <f>2700</f>
        <v>2700</v>
      </c>
      <c r="AF358" s="31"/>
      <c r="AG358" s="31"/>
    </row>
    <row r="359" spans="1:33" s="1" customFormat="1" ht="33" customHeight="1">
      <c r="A359" s="24" t="s">
        <v>3021</v>
      </c>
      <c r="B359" s="25" t="s">
        <v>3022</v>
      </c>
      <c r="C359" s="25"/>
      <c r="D359" s="25"/>
      <c r="E359" s="26" t="s">
        <v>3023</v>
      </c>
      <c r="F359" s="26"/>
      <c r="G359" s="26"/>
      <c r="H359" s="26"/>
      <c r="I359" s="26"/>
      <c r="J359" s="27" t="s">
        <v>2056</v>
      </c>
      <c r="K359" s="27"/>
      <c r="L359" s="27"/>
      <c r="M359" s="27"/>
      <c r="N359" s="28">
        <f>325</f>
        <v>325</v>
      </c>
      <c r="O359" s="28"/>
      <c r="P359" s="28"/>
      <c r="Q359" s="27" t="s">
        <v>2032</v>
      </c>
      <c r="R359" s="27"/>
      <c r="S359" s="29" t="s">
        <v>2032</v>
      </c>
      <c r="T359" s="29"/>
      <c r="U359" s="29"/>
      <c r="V359" s="29"/>
      <c r="W359" s="30" t="s">
        <v>2032</v>
      </c>
      <c r="X359" s="29" t="s">
        <v>2032</v>
      </c>
      <c r="Y359" s="29"/>
      <c r="Z359" s="29"/>
      <c r="AA359" s="29"/>
      <c r="AB359" s="27" t="s">
        <v>2056</v>
      </c>
      <c r="AC359" s="27"/>
      <c r="AD359" s="27"/>
      <c r="AE359" s="31">
        <f>325</f>
        <v>325</v>
      </c>
      <c r="AF359" s="31"/>
      <c r="AG359" s="31"/>
    </row>
    <row r="360" spans="1:33" s="1" customFormat="1" ht="18.75" customHeight="1">
      <c r="A360" s="24" t="s">
        <v>3024</v>
      </c>
      <c r="B360" s="25" t="s">
        <v>3025</v>
      </c>
      <c r="C360" s="25"/>
      <c r="D360" s="25"/>
      <c r="E360" s="26" t="s">
        <v>3026</v>
      </c>
      <c r="F360" s="26"/>
      <c r="G360" s="26"/>
      <c r="H360" s="26"/>
      <c r="I360" s="26"/>
      <c r="J360" s="27" t="s">
        <v>2064</v>
      </c>
      <c r="K360" s="27"/>
      <c r="L360" s="27"/>
      <c r="M360" s="27"/>
      <c r="N360" s="28">
        <f>540</f>
        <v>540</v>
      </c>
      <c r="O360" s="28"/>
      <c r="P360" s="28"/>
      <c r="Q360" s="27" t="s">
        <v>2032</v>
      </c>
      <c r="R360" s="27"/>
      <c r="S360" s="29" t="s">
        <v>2032</v>
      </c>
      <c r="T360" s="29"/>
      <c r="U360" s="29"/>
      <c r="V360" s="29"/>
      <c r="W360" s="30" t="s">
        <v>2032</v>
      </c>
      <c r="X360" s="29" t="s">
        <v>2032</v>
      </c>
      <c r="Y360" s="29"/>
      <c r="Z360" s="29"/>
      <c r="AA360" s="29"/>
      <c r="AB360" s="27" t="s">
        <v>2064</v>
      </c>
      <c r="AC360" s="27"/>
      <c r="AD360" s="27"/>
      <c r="AE360" s="31">
        <f>540</f>
        <v>540</v>
      </c>
      <c r="AF360" s="31"/>
      <c r="AG360" s="31"/>
    </row>
    <row r="361" spans="1:33" s="1" customFormat="1" ht="18.75" customHeight="1">
      <c r="A361" s="24" t="s">
        <v>3027</v>
      </c>
      <c r="B361" s="25" t="s">
        <v>2567</v>
      </c>
      <c r="C361" s="25"/>
      <c r="D361" s="25"/>
      <c r="E361" s="26" t="s">
        <v>3028</v>
      </c>
      <c r="F361" s="26"/>
      <c r="G361" s="26"/>
      <c r="H361" s="26"/>
      <c r="I361" s="26"/>
      <c r="J361" s="27" t="s">
        <v>2059</v>
      </c>
      <c r="K361" s="27"/>
      <c r="L361" s="27"/>
      <c r="M361" s="27"/>
      <c r="N361" s="28">
        <f>224.72</f>
        <v>224.72</v>
      </c>
      <c r="O361" s="28"/>
      <c r="P361" s="28"/>
      <c r="Q361" s="27" t="s">
        <v>2032</v>
      </c>
      <c r="R361" s="27"/>
      <c r="S361" s="29" t="s">
        <v>2032</v>
      </c>
      <c r="T361" s="29"/>
      <c r="U361" s="29"/>
      <c r="V361" s="29"/>
      <c r="W361" s="30" t="s">
        <v>2032</v>
      </c>
      <c r="X361" s="29" t="s">
        <v>2032</v>
      </c>
      <c r="Y361" s="29"/>
      <c r="Z361" s="29"/>
      <c r="AA361" s="29"/>
      <c r="AB361" s="27" t="s">
        <v>2059</v>
      </c>
      <c r="AC361" s="27"/>
      <c r="AD361" s="27"/>
      <c r="AE361" s="31">
        <f>224.72</f>
        <v>224.72</v>
      </c>
      <c r="AF361" s="31"/>
      <c r="AG361" s="31"/>
    </row>
    <row r="362" spans="1:33" s="1" customFormat="1" ht="18.75" customHeight="1">
      <c r="A362" s="24" t="s">
        <v>3029</v>
      </c>
      <c r="B362" s="25" t="s">
        <v>3030</v>
      </c>
      <c r="C362" s="25"/>
      <c r="D362" s="25"/>
      <c r="E362" s="26" t="s">
        <v>3031</v>
      </c>
      <c r="F362" s="26"/>
      <c r="G362" s="26"/>
      <c r="H362" s="26"/>
      <c r="I362" s="26"/>
      <c r="J362" s="27" t="s">
        <v>2058</v>
      </c>
      <c r="K362" s="27"/>
      <c r="L362" s="27"/>
      <c r="M362" s="27"/>
      <c r="N362" s="28">
        <f>219.18</f>
        <v>219.18</v>
      </c>
      <c r="O362" s="28"/>
      <c r="P362" s="28"/>
      <c r="Q362" s="27" t="s">
        <v>2032</v>
      </c>
      <c r="R362" s="27"/>
      <c r="S362" s="29" t="s">
        <v>2032</v>
      </c>
      <c r="T362" s="29"/>
      <c r="U362" s="29"/>
      <c r="V362" s="29"/>
      <c r="W362" s="30" t="s">
        <v>2032</v>
      </c>
      <c r="X362" s="29" t="s">
        <v>2032</v>
      </c>
      <c r="Y362" s="29"/>
      <c r="Z362" s="29"/>
      <c r="AA362" s="29"/>
      <c r="AB362" s="27" t="s">
        <v>2058</v>
      </c>
      <c r="AC362" s="27"/>
      <c r="AD362" s="27"/>
      <c r="AE362" s="31">
        <f>219.18</f>
        <v>219.18</v>
      </c>
      <c r="AF362" s="31"/>
      <c r="AG362" s="31"/>
    </row>
    <row r="363" spans="1:33" s="1" customFormat="1" ht="18.75" customHeight="1">
      <c r="A363" s="24" t="s">
        <v>3032</v>
      </c>
      <c r="B363" s="25" t="s">
        <v>3033</v>
      </c>
      <c r="C363" s="25"/>
      <c r="D363" s="25"/>
      <c r="E363" s="26" t="s">
        <v>3034</v>
      </c>
      <c r="F363" s="26"/>
      <c r="G363" s="26"/>
      <c r="H363" s="26"/>
      <c r="I363" s="26"/>
      <c r="J363" s="27" t="s">
        <v>2056</v>
      </c>
      <c r="K363" s="27"/>
      <c r="L363" s="27"/>
      <c r="M363" s="27"/>
      <c r="N363" s="28">
        <f>250</f>
        <v>250</v>
      </c>
      <c r="O363" s="28"/>
      <c r="P363" s="28"/>
      <c r="Q363" s="27" t="s">
        <v>2032</v>
      </c>
      <c r="R363" s="27"/>
      <c r="S363" s="29" t="s">
        <v>2032</v>
      </c>
      <c r="T363" s="29"/>
      <c r="U363" s="29"/>
      <c r="V363" s="29"/>
      <c r="W363" s="30" t="s">
        <v>2032</v>
      </c>
      <c r="X363" s="29" t="s">
        <v>2032</v>
      </c>
      <c r="Y363" s="29"/>
      <c r="Z363" s="29"/>
      <c r="AA363" s="29"/>
      <c r="AB363" s="27" t="s">
        <v>2056</v>
      </c>
      <c r="AC363" s="27"/>
      <c r="AD363" s="27"/>
      <c r="AE363" s="31">
        <f>250</f>
        <v>250</v>
      </c>
      <c r="AF363" s="31"/>
      <c r="AG363" s="31"/>
    </row>
    <row r="364" spans="1:33" s="1" customFormat="1" ht="18.75" customHeight="1">
      <c r="A364" s="24" t="s">
        <v>3035</v>
      </c>
      <c r="B364" s="25" t="s">
        <v>3036</v>
      </c>
      <c r="C364" s="25"/>
      <c r="D364" s="25"/>
      <c r="E364" s="26" t="s">
        <v>3037</v>
      </c>
      <c r="F364" s="26"/>
      <c r="G364" s="26"/>
      <c r="H364" s="26"/>
      <c r="I364" s="26"/>
      <c r="J364" s="27" t="s">
        <v>2058</v>
      </c>
      <c r="K364" s="27"/>
      <c r="L364" s="27"/>
      <c r="M364" s="27"/>
      <c r="N364" s="28">
        <f>750</f>
        <v>750</v>
      </c>
      <c r="O364" s="28"/>
      <c r="P364" s="28"/>
      <c r="Q364" s="27" t="s">
        <v>2032</v>
      </c>
      <c r="R364" s="27"/>
      <c r="S364" s="29" t="s">
        <v>2032</v>
      </c>
      <c r="T364" s="29"/>
      <c r="U364" s="29"/>
      <c r="V364" s="29"/>
      <c r="W364" s="30" t="s">
        <v>2032</v>
      </c>
      <c r="X364" s="29" t="s">
        <v>2032</v>
      </c>
      <c r="Y364" s="29"/>
      <c r="Z364" s="29"/>
      <c r="AA364" s="29"/>
      <c r="AB364" s="27" t="s">
        <v>2058</v>
      </c>
      <c r="AC364" s="27"/>
      <c r="AD364" s="27"/>
      <c r="AE364" s="31">
        <f>750</f>
        <v>750</v>
      </c>
      <c r="AF364" s="31"/>
      <c r="AG364" s="31"/>
    </row>
    <row r="365" spans="1:33" s="1" customFormat="1" ht="18.75" customHeight="1">
      <c r="A365" s="24" t="s">
        <v>3038</v>
      </c>
      <c r="B365" s="25" t="s">
        <v>3039</v>
      </c>
      <c r="C365" s="25"/>
      <c r="D365" s="25"/>
      <c r="E365" s="26" t="s">
        <v>3040</v>
      </c>
      <c r="F365" s="26"/>
      <c r="G365" s="26"/>
      <c r="H365" s="26"/>
      <c r="I365" s="26"/>
      <c r="J365" s="27" t="s">
        <v>2061</v>
      </c>
      <c r="K365" s="27"/>
      <c r="L365" s="27"/>
      <c r="M365" s="27"/>
      <c r="N365" s="28">
        <f>1800</f>
        <v>1800</v>
      </c>
      <c r="O365" s="28"/>
      <c r="P365" s="28"/>
      <c r="Q365" s="27" t="s">
        <v>2032</v>
      </c>
      <c r="R365" s="27"/>
      <c r="S365" s="29" t="s">
        <v>2032</v>
      </c>
      <c r="T365" s="29"/>
      <c r="U365" s="29"/>
      <c r="V365" s="29"/>
      <c r="W365" s="30" t="s">
        <v>2032</v>
      </c>
      <c r="X365" s="29" t="s">
        <v>2032</v>
      </c>
      <c r="Y365" s="29"/>
      <c r="Z365" s="29"/>
      <c r="AA365" s="29"/>
      <c r="AB365" s="27" t="s">
        <v>2061</v>
      </c>
      <c r="AC365" s="27"/>
      <c r="AD365" s="27"/>
      <c r="AE365" s="31">
        <f>1800</f>
        <v>1800</v>
      </c>
      <c r="AF365" s="31"/>
      <c r="AG365" s="31"/>
    </row>
    <row r="366" spans="1:33" s="1" customFormat="1" ht="18.75" customHeight="1">
      <c r="A366" s="24" t="s">
        <v>3041</v>
      </c>
      <c r="B366" s="25" t="s">
        <v>3042</v>
      </c>
      <c r="C366" s="25"/>
      <c r="D366" s="25"/>
      <c r="E366" s="26" t="s">
        <v>3043</v>
      </c>
      <c r="F366" s="26"/>
      <c r="G366" s="26"/>
      <c r="H366" s="26"/>
      <c r="I366" s="26"/>
      <c r="J366" s="27" t="s">
        <v>2056</v>
      </c>
      <c r="K366" s="27"/>
      <c r="L366" s="27"/>
      <c r="M366" s="27"/>
      <c r="N366" s="28">
        <f>150</f>
        <v>150</v>
      </c>
      <c r="O366" s="28"/>
      <c r="P366" s="28"/>
      <c r="Q366" s="27" t="s">
        <v>2032</v>
      </c>
      <c r="R366" s="27"/>
      <c r="S366" s="29" t="s">
        <v>2032</v>
      </c>
      <c r="T366" s="29"/>
      <c r="U366" s="29"/>
      <c r="V366" s="29"/>
      <c r="W366" s="30" t="s">
        <v>2032</v>
      </c>
      <c r="X366" s="29" t="s">
        <v>2032</v>
      </c>
      <c r="Y366" s="29"/>
      <c r="Z366" s="29"/>
      <c r="AA366" s="29"/>
      <c r="AB366" s="27" t="s">
        <v>2056</v>
      </c>
      <c r="AC366" s="27"/>
      <c r="AD366" s="27"/>
      <c r="AE366" s="31">
        <f>150</f>
        <v>150</v>
      </c>
      <c r="AF366" s="31"/>
      <c r="AG366" s="31"/>
    </row>
    <row r="367" spans="1:33" s="1" customFormat="1" ht="18.75" customHeight="1">
      <c r="A367" s="24" t="s">
        <v>3044</v>
      </c>
      <c r="B367" s="25" t="s">
        <v>3045</v>
      </c>
      <c r="C367" s="25"/>
      <c r="D367" s="25"/>
      <c r="E367" s="26" t="s">
        <v>3046</v>
      </c>
      <c r="F367" s="26"/>
      <c r="G367" s="26"/>
      <c r="H367" s="26"/>
      <c r="I367" s="26"/>
      <c r="J367" s="27" t="s">
        <v>2057</v>
      </c>
      <c r="K367" s="27"/>
      <c r="L367" s="27"/>
      <c r="M367" s="27"/>
      <c r="N367" s="28">
        <f>148</f>
        <v>148</v>
      </c>
      <c r="O367" s="28"/>
      <c r="P367" s="28"/>
      <c r="Q367" s="27" t="s">
        <v>2032</v>
      </c>
      <c r="R367" s="27"/>
      <c r="S367" s="29" t="s">
        <v>2032</v>
      </c>
      <c r="T367" s="29"/>
      <c r="U367" s="29"/>
      <c r="V367" s="29"/>
      <c r="W367" s="30" t="s">
        <v>2032</v>
      </c>
      <c r="X367" s="29" t="s">
        <v>2032</v>
      </c>
      <c r="Y367" s="29"/>
      <c r="Z367" s="29"/>
      <c r="AA367" s="29"/>
      <c r="AB367" s="27" t="s">
        <v>2057</v>
      </c>
      <c r="AC367" s="27"/>
      <c r="AD367" s="27"/>
      <c r="AE367" s="31">
        <f>148</f>
        <v>148</v>
      </c>
      <c r="AF367" s="31"/>
      <c r="AG367" s="31"/>
    </row>
    <row r="368" spans="1:33" s="1" customFormat="1" ht="33" customHeight="1">
      <c r="A368" s="24" t="s">
        <v>3047</v>
      </c>
      <c r="B368" s="25" t="s">
        <v>3048</v>
      </c>
      <c r="C368" s="25"/>
      <c r="D368" s="25"/>
      <c r="E368" s="26" t="s">
        <v>3049</v>
      </c>
      <c r="F368" s="26"/>
      <c r="G368" s="26"/>
      <c r="H368" s="26"/>
      <c r="I368" s="26"/>
      <c r="J368" s="27" t="s">
        <v>2056</v>
      </c>
      <c r="K368" s="27"/>
      <c r="L368" s="27"/>
      <c r="M368" s="27"/>
      <c r="N368" s="28">
        <f>325</f>
        <v>325</v>
      </c>
      <c r="O368" s="28"/>
      <c r="P368" s="28"/>
      <c r="Q368" s="27" t="s">
        <v>2032</v>
      </c>
      <c r="R368" s="27"/>
      <c r="S368" s="29" t="s">
        <v>2032</v>
      </c>
      <c r="T368" s="29"/>
      <c r="U368" s="29"/>
      <c r="V368" s="29"/>
      <c r="W368" s="30" t="s">
        <v>2032</v>
      </c>
      <c r="X368" s="29" t="s">
        <v>2032</v>
      </c>
      <c r="Y368" s="29"/>
      <c r="Z368" s="29"/>
      <c r="AA368" s="29"/>
      <c r="AB368" s="27" t="s">
        <v>2056</v>
      </c>
      <c r="AC368" s="27"/>
      <c r="AD368" s="27"/>
      <c r="AE368" s="31">
        <f>325</f>
        <v>325</v>
      </c>
      <c r="AF368" s="31"/>
      <c r="AG368" s="31"/>
    </row>
    <row r="369" spans="1:33" s="1" customFormat="1" ht="18.75" customHeight="1">
      <c r="A369" s="24" t="s">
        <v>3050</v>
      </c>
      <c r="B369" s="25" t="s">
        <v>3051</v>
      </c>
      <c r="C369" s="25"/>
      <c r="D369" s="25"/>
      <c r="E369" s="26" t="s">
        <v>3052</v>
      </c>
      <c r="F369" s="26"/>
      <c r="G369" s="26"/>
      <c r="H369" s="26"/>
      <c r="I369" s="26"/>
      <c r="J369" s="27" t="s">
        <v>2057</v>
      </c>
      <c r="K369" s="27"/>
      <c r="L369" s="27"/>
      <c r="M369" s="27"/>
      <c r="N369" s="28">
        <f>360</f>
        <v>360</v>
      </c>
      <c r="O369" s="28"/>
      <c r="P369" s="28"/>
      <c r="Q369" s="27" t="s">
        <v>2032</v>
      </c>
      <c r="R369" s="27"/>
      <c r="S369" s="29" t="s">
        <v>2032</v>
      </c>
      <c r="T369" s="29"/>
      <c r="U369" s="29"/>
      <c r="V369" s="29"/>
      <c r="W369" s="30" t="s">
        <v>2032</v>
      </c>
      <c r="X369" s="29" t="s">
        <v>2032</v>
      </c>
      <c r="Y369" s="29"/>
      <c r="Z369" s="29"/>
      <c r="AA369" s="29"/>
      <c r="AB369" s="27" t="s">
        <v>2057</v>
      </c>
      <c r="AC369" s="27"/>
      <c r="AD369" s="27"/>
      <c r="AE369" s="31">
        <f>360</f>
        <v>360</v>
      </c>
      <c r="AF369" s="31"/>
      <c r="AG369" s="31"/>
    </row>
    <row r="370" spans="1:33" s="1" customFormat="1" ht="18.75" customHeight="1">
      <c r="A370" s="24" t="s">
        <v>3053</v>
      </c>
      <c r="B370" s="25" t="s">
        <v>3054</v>
      </c>
      <c r="C370" s="25"/>
      <c r="D370" s="25"/>
      <c r="E370" s="26" t="s">
        <v>3055</v>
      </c>
      <c r="F370" s="26"/>
      <c r="G370" s="26"/>
      <c r="H370" s="26"/>
      <c r="I370" s="26"/>
      <c r="J370" s="27" t="s">
        <v>2056</v>
      </c>
      <c r="K370" s="27"/>
      <c r="L370" s="27"/>
      <c r="M370" s="27"/>
      <c r="N370" s="28">
        <f>73.06</f>
        <v>73.06</v>
      </c>
      <c r="O370" s="28"/>
      <c r="P370" s="28"/>
      <c r="Q370" s="27" t="s">
        <v>2032</v>
      </c>
      <c r="R370" s="27"/>
      <c r="S370" s="29" t="s">
        <v>2032</v>
      </c>
      <c r="T370" s="29"/>
      <c r="U370" s="29"/>
      <c r="V370" s="29"/>
      <c r="W370" s="30" t="s">
        <v>2032</v>
      </c>
      <c r="X370" s="29" t="s">
        <v>2032</v>
      </c>
      <c r="Y370" s="29"/>
      <c r="Z370" s="29"/>
      <c r="AA370" s="29"/>
      <c r="AB370" s="27" t="s">
        <v>2056</v>
      </c>
      <c r="AC370" s="27"/>
      <c r="AD370" s="27"/>
      <c r="AE370" s="31">
        <f>73.06</f>
        <v>73.06</v>
      </c>
      <c r="AF370" s="31"/>
      <c r="AG370" s="31"/>
    </row>
    <row r="371" spans="1:33" s="1" customFormat="1" ht="33" customHeight="1">
      <c r="A371" s="24" t="s">
        <v>3056</v>
      </c>
      <c r="B371" s="25" t="s">
        <v>3057</v>
      </c>
      <c r="C371" s="25"/>
      <c r="D371" s="25"/>
      <c r="E371" s="26" t="s">
        <v>3058</v>
      </c>
      <c r="F371" s="26"/>
      <c r="G371" s="26"/>
      <c r="H371" s="26"/>
      <c r="I371" s="26"/>
      <c r="J371" s="27" t="s">
        <v>2057</v>
      </c>
      <c r="K371" s="27"/>
      <c r="L371" s="27"/>
      <c r="M371" s="27"/>
      <c r="N371" s="28">
        <f>146.12</f>
        <v>146.12</v>
      </c>
      <c r="O371" s="28"/>
      <c r="P371" s="28"/>
      <c r="Q371" s="27" t="s">
        <v>2032</v>
      </c>
      <c r="R371" s="27"/>
      <c r="S371" s="29" t="s">
        <v>2032</v>
      </c>
      <c r="T371" s="29"/>
      <c r="U371" s="29"/>
      <c r="V371" s="29"/>
      <c r="W371" s="30" t="s">
        <v>2032</v>
      </c>
      <c r="X371" s="29" t="s">
        <v>2032</v>
      </c>
      <c r="Y371" s="29"/>
      <c r="Z371" s="29"/>
      <c r="AA371" s="29"/>
      <c r="AB371" s="27" t="s">
        <v>2057</v>
      </c>
      <c r="AC371" s="27"/>
      <c r="AD371" s="27"/>
      <c r="AE371" s="31">
        <f>146.12</f>
        <v>146.12</v>
      </c>
      <c r="AF371" s="31"/>
      <c r="AG371" s="31"/>
    </row>
    <row r="372" spans="1:33" s="1" customFormat="1" ht="18.75" customHeight="1">
      <c r="A372" s="24" t="s">
        <v>3059</v>
      </c>
      <c r="B372" s="25" t="s">
        <v>3060</v>
      </c>
      <c r="C372" s="25"/>
      <c r="D372" s="25"/>
      <c r="E372" s="26" t="s">
        <v>3061</v>
      </c>
      <c r="F372" s="26"/>
      <c r="G372" s="26"/>
      <c r="H372" s="26"/>
      <c r="I372" s="26"/>
      <c r="J372" s="27" t="s">
        <v>2057</v>
      </c>
      <c r="K372" s="27"/>
      <c r="L372" s="27"/>
      <c r="M372" s="27"/>
      <c r="N372" s="28">
        <f>438.38</f>
        <v>438.38</v>
      </c>
      <c r="O372" s="28"/>
      <c r="P372" s="28"/>
      <c r="Q372" s="27" t="s">
        <v>2032</v>
      </c>
      <c r="R372" s="27"/>
      <c r="S372" s="29" t="s">
        <v>2032</v>
      </c>
      <c r="T372" s="29"/>
      <c r="U372" s="29"/>
      <c r="V372" s="29"/>
      <c r="W372" s="30" t="s">
        <v>2032</v>
      </c>
      <c r="X372" s="29" t="s">
        <v>2032</v>
      </c>
      <c r="Y372" s="29"/>
      <c r="Z372" s="29"/>
      <c r="AA372" s="29"/>
      <c r="AB372" s="27" t="s">
        <v>2057</v>
      </c>
      <c r="AC372" s="27"/>
      <c r="AD372" s="27"/>
      <c r="AE372" s="31">
        <f>438.38</f>
        <v>438.38</v>
      </c>
      <c r="AF372" s="31"/>
      <c r="AG372" s="31"/>
    </row>
    <row r="373" spans="1:33" s="1" customFormat="1" ht="18.75" customHeight="1">
      <c r="A373" s="24" t="s">
        <v>3062</v>
      </c>
      <c r="B373" s="25" t="s">
        <v>3063</v>
      </c>
      <c r="C373" s="25"/>
      <c r="D373" s="25"/>
      <c r="E373" s="26" t="s">
        <v>3064</v>
      </c>
      <c r="F373" s="26"/>
      <c r="G373" s="26"/>
      <c r="H373" s="26"/>
      <c r="I373" s="26"/>
      <c r="J373" s="27" t="s">
        <v>2056</v>
      </c>
      <c r="K373" s="27"/>
      <c r="L373" s="27"/>
      <c r="M373" s="27"/>
      <c r="N373" s="28">
        <f>906</f>
        <v>906</v>
      </c>
      <c r="O373" s="28"/>
      <c r="P373" s="28"/>
      <c r="Q373" s="27" t="s">
        <v>2032</v>
      </c>
      <c r="R373" s="27"/>
      <c r="S373" s="29" t="s">
        <v>2032</v>
      </c>
      <c r="T373" s="29"/>
      <c r="U373" s="29"/>
      <c r="V373" s="29"/>
      <c r="W373" s="30" t="s">
        <v>2032</v>
      </c>
      <c r="X373" s="29" t="s">
        <v>2032</v>
      </c>
      <c r="Y373" s="29"/>
      <c r="Z373" s="29"/>
      <c r="AA373" s="29"/>
      <c r="AB373" s="27" t="s">
        <v>2056</v>
      </c>
      <c r="AC373" s="27"/>
      <c r="AD373" s="27"/>
      <c r="AE373" s="31">
        <f>906</f>
        <v>906</v>
      </c>
      <c r="AF373" s="31"/>
      <c r="AG373" s="31"/>
    </row>
    <row r="374" spans="1:33" s="1" customFormat="1" ht="18.75" customHeight="1">
      <c r="A374" s="24" t="s">
        <v>3065</v>
      </c>
      <c r="B374" s="25" t="s">
        <v>3066</v>
      </c>
      <c r="C374" s="25"/>
      <c r="D374" s="25"/>
      <c r="E374" s="26" t="s">
        <v>3067</v>
      </c>
      <c r="F374" s="26"/>
      <c r="G374" s="26"/>
      <c r="H374" s="26"/>
      <c r="I374" s="26"/>
      <c r="J374" s="27" t="s">
        <v>2153</v>
      </c>
      <c r="K374" s="27"/>
      <c r="L374" s="27"/>
      <c r="M374" s="27"/>
      <c r="N374" s="28">
        <f>11970</f>
        <v>11970</v>
      </c>
      <c r="O374" s="28"/>
      <c r="P374" s="28"/>
      <c r="Q374" s="27" t="s">
        <v>2032</v>
      </c>
      <c r="R374" s="27"/>
      <c r="S374" s="29" t="s">
        <v>2032</v>
      </c>
      <c r="T374" s="29"/>
      <c r="U374" s="29"/>
      <c r="V374" s="29"/>
      <c r="W374" s="30" t="s">
        <v>2032</v>
      </c>
      <c r="X374" s="29" t="s">
        <v>2032</v>
      </c>
      <c r="Y374" s="29"/>
      <c r="Z374" s="29"/>
      <c r="AA374" s="29"/>
      <c r="AB374" s="27" t="s">
        <v>2153</v>
      </c>
      <c r="AC374" s="27"/>
      <c r="AD374" s="27"/>
      <c r="AE374" s="31">
        <f>11970</f>
        <v>11970</v>
      </c>
      <c r="AF374" s="31"/>
      <c r="AG374" s="31"/>
    </row>
    <row r="375" spans="1:33" s="1" customFormat="1" ht="18.75" customHeight="1">
      <c r="A375" s="24" t="s">
        <v>3068</v>
      </c>
      <c r="B375" s="25" t="s">
        <v>3069</v>
      </c>
      <c r="C375" s="25"/>
      <c r="D375" s="25"/>
      <c r="E375" s="26" t="s">
        <v>3070</v>
      </c>
      <c r="F375" s="26"/>
      <c r="G375" s="26"/>
      <c r="H375" s="26"/>
      <c r="I375" s="26"/>
      <c r="J375" s="27" t="s">
        <v>2060</v>
      </c>
      <c r="K375" s="27"/>
      <c r="L375" s="27"/>
      <c r="M375" s="27"/>
      <c r="N375" s="28">
        <f>1710</f>
        <v>1710</v>
      </c>
      <c r="O375" s="28"/>
      <c r="P375" s="28"/>
      <c r="Q375" s="27" t="s">
        <v>2032</v>
      </c>
      <c r="R375" s="27"/>
      <c r="S375" s="29" t="s">
        <v>2032</v>
      </c>
      <c r="T375" s="29"/>
      <c r="U375" s="29"/>
      <c r="V375" s="29"/>
      <c r="W375" s="30" t="s">
        <v>2032</v>
      </c>
      <c r="X375" s="29" t="s">
        <v>2032</v>
      </c>
      <c r="Y375" s="29"/>
      <c r="Z375" s="29"/>
      <c r="AA375" s="29"/>
      <c r="AB375" s="27" t="s">
        <v>2060</v>
      </c>
      <c r="AC375" s="27"/>
      <c r="AD375" s="27"/>
      <c r="AE375" s="31">
        <f>1710</f>
        <v>1710</v>
      </c>
      <c r="AF375" s="31"/>
      <c r="AG375" s="31"/>
    </row>
    <row r="376" spans="1:33" s="1" customFormat="1" ht="18.75" customHeight="1">
      <c r="A376" s="24" t="s">
        <v>3071</v>
      </c>
      <c r="B376" s="25" t="s">
        <v>3072</v>
      </c>
      <c r="C376" s="25"/>
      <c r="D376" s="25"/>
      <c r="E376" s="26" t="s">
        <v>3073</v>
      </c>
      <c r="F376" s="26"/>
      <c r="G376" s="26"/>
      <c r="H376" s="26"/>
      <c r="I376" s="26"/>
      <c r="J376" s="27" t="s">
        <v>2064</v>
      </c>
      <c r="K376" s="27"/>
      <c r="L376" s="27"/>
      <c r="M376" s="27"/>
      <c r="N376" s="28">
        <f>2630.25</f>
        <v>2630.25</v>
      </c>
      <c r="O376" s="28"/>
      <c r="P376" s="28"/>
      <c r="Q376" s="27" t="s">
        <v>2032</v>
      </c>
      <c r="R376" s="27"/>
      <c r="S376" s="29" t="s">
        <v>2032</v>
      </c>
      <c r="T376" s="29"/>
      <c r="U376" s="29"/>
      <c r="V376" s="29"/>
      <c r="W376" s="30" t="s">
        <v>2032</v>
      </c>
      <c r="X376" s="29" t="s">
        <v>2032</v>
      </c>
      <c r="Y376" s="29"/>
      <c r="Z376" s="29"/>
      <c r="AA376" s="29"/>
      <c r="AB376" s="27" t="s">
        <v>2064</v>
      </c>
      <c r="AC376" s="27"/>
      <c r="AD376" s="27"/>
      <c r="AE376" s="31">
        <f>2630.25</f>
        <v>2630.25</v>
      </c>
      <c r="AF376" s="31"/>
      <c r="AG376" s="31"/>
    </row>
    <row r="377" spans="1:33" s="1" customFormat="1" ht="18.75" customHeight="1">
      <c r="A377" s="24" t="s">
        <v>3074</v>
      </c>
      <c r="B377" s="25" t="s">
        <v>3075</v>
      </c>
      <c r="C377" s="25"/>
      <c r="D377" s="25"/>
      <c r="E377" s="26" t="s">
        <v>3076</v>
      </c>
      <c r="F377" s="26"/>
      <c r="G377" s="26"/>
      <c r="H377" s="26"/>
      <c r="I377" s="26"/>
      <c r="J377" s="27" t="s">
        <v>2056</v>
      </c>
      <c r="K377" s="27"/>
      <c r="L377" s="27"/>
      <c r="M377" s="27"/>
      <c r="N377" s="28">
        <f>2900</f>
        <v>2900</v>
      </c>
      <c r="O377" s="28"/>
      <c r="P377" s="28"/>
      <c r="Q377" s="27" t="s">
        <v>2032</v>
      </c>
      <c r="R377" s="27"/>
      <c r="S377" s="29" t="s">
        <v>2032</v>
      </c>
      <c r="T377" s="29"/>
      <c r="U377" s="29"/>
      <c r="V377" s="29"/>
      <c r="W377" s="30" t="s">
        <v>2032</v>
      </c>
      <c r="X377" s="29" t="s">
        <v>2032</v>
      </c>
      <c r="Y377" s="29"/>
      <c r="Z377" s="29"/>
      <c r="AA377" s="29"/>
      <c r="AB377" s="27" t="s">
        <v>2056</v>
      </c>
      <c r="AC377" s="27"/>
      <c r="AD377" s="27"/>
      <c r="AE377" s="31">
        <f>2900</f>
        <v>2900</v>
      </c>
      <c r="AF377" s="31"/>
      <c r="AG377" s="31"/>
    </row>
    <row r="378" spans="1:33" s="1" customFormat="1" ht="18.75" customHeight="1">
      <c r="A378" s="24" t="s">
        <v>3077</v>
      </c>
      <c r="B378" s="25" t="s">
        <v>3078</v>
      </c>
      <c r="C378" s="25"/>
      <c r="D378" s="25"/>
      <c r="E378" s="26" t="s">
        <v>3079</v>
      </c>
      <c r="F378" s="26"/>
      <c r="G378" s="26"/>
      <c r="H378" s="26"/>
      <c r="I378" s="26"/>
      <c r="J378" s="27" t="s">
        <v>2059</v>
      </c>
      <c r="K378" s="27"/>
      <c r="L378" s="27"/>
      <c r="M378" s="27"/>
      <c r="N378" s="28">
        <f>146.14</f>
        <v>146.14</v>
      </c>
      <c r="O378" s="28"/>
      <c r="P378" s="28"/>
      <c r="Q378" s="27" t="s">
        <v>2032</v>
      </c>
      <c r="R378" s="27"/>
      <c r="S378" s="29" t="s">
        <v>2032</v>
      </c>
      <c r="T378" s="29"/>
      <c r="U378" s="29"/>
      <c r="V378" s="29"/>
      <c r="W378" s="30" t="s">
        <v>2032</v>
      </c>
      <c r="X378" s="29" t="s">
        <v>2032</v>
      </c>
      <c r="Y378" s="29"/>
      <c r="Z378" s="29"/>
      <c r="AA378" s="29"/>
      <c r="AB378" s="27" t="s">
        <v>2059</v>
      </c>
      <c r="AC378" s="27"/>
      <c r="AD378" s="27"/>
      <c r="AE378" s="31">
        <f>146.14</f>
        <v>146.14</v>
      </c>
      <c r="AF378" s="31"/>
      <c r="AG378" s="31"/>
    </row>
    <row r="379" spans="1:33" s="1" customFormat="1" ht="46.5" customHeight="1">
      <c r="A379" s="24" t="s">
        <v>3080</v>
      </c>
      <c r="B379" s="25" t="s">
        <v>3081</v>
      </c>
      <c r="C379" s="25"/>
      <c r="D379" s="25"/>
      <c r="E379" s="26" t="s">
        <v>3082</v>
      </c>
      <c r="F379" s="26"/>
      <c r="G379" s="26"/>
      <c r="H379" s="26"/>
      <c r="I379" s="26"/>
      <c r="J379" s="27" t="s">
        <v>2056</v>
      </c>
      <c r="K379" s="27"/>
      <c r="L379" s="27"/>
      <c r="M379" s="27"/>
      <c r="N379" s="28">
        <f>2625</f>
        <v>2625</v>
      </c>
      <c r="O379" s="28"/>
      <c r="P379" s="28"/>
      <c r="Q379" s="27" t="s">
        <v>2032</v>
      </c>
      <c r="R379" s="27"/>
      <c r="S379" s="29" t="s">
        <v>2032</v>
      </c>
      <c r="T379" s="29"/>
      <c r="U379" s="29"/>
      <c r="V379" s="29"/>
      <c r="W379" s="30" t="s">
        <v>2032</v>
      </c>
      <c r="X379" s="29" t="s">
        <v>2032</v>
      </c>
      <c r="Y379" s="29"/>
      <c r="Z379" s="29"/>
      <c r="AA379" s="29"/>
      <c r="AB379" s="27" t="s">
        <v>2056</v>
      </c>
      <c r="AC379" s="27"/>
      <c r="AD379" s="27"/>
      <c r="AE379" s="31">
        <f>2625</f>
        <v>2625</v>
      </c>
      <c r="AF379" s="31"/>
      <c r="AG379" s="31"/>
    </row>
    <row r="380" spans="1:33" s="1" customFormat="1" ht="18.75" customHeight="1">
      <c r="A380" s="24" t="s">
        <v>3083</v>
      </c>
      <c r="B380" s="25" t="s">
        <v>3084</v>
      </c>
      <c r="C380" s="25"/>
      <c r="D380" s="25"/>
      <c r="E380" s="26" t="s">
        <v>3085</v>
      </c>
      <c r="F380" s="26"/>
      <c r="G380" s="26"/>
      <c r="H380" s="26"/>
      <c r="I380" s="26"/>
      <c r="J380" s="27" t="s">
        <v>2057</v>
      </c>
      <c r="K380" s="27"/>
      <c r="L380" s="27"/>
      <c r="M380" s="27"/>
      <c r="N380" s="28">
        <f>146.12</f>
        <v>146.12</v>
      </c>
      <c r="O380" s="28"/>
      <c r="P380" s="28"/>
      <c r="Q380" s="27" t="s">
        <v>2032</v>
      </c>
      <c r="R380" s="27"/>
      <c r="S380" s="29" t="s">
        <v>2032</v>
      </c>
      <c r="T380" s="29"/>
      <c r="U380" s="29"/>
      <c r="V380" s="29"/>
      <c r="W380" s="30" t="s">
        <v>2032</v>
      </c>
      <c r="X380" s="29" t="s">
        <v>2032</v>
      </c>
      <c r="Y380" s="29"/>
      <c r="Z380" s="29"/>
      <c r="AA380" s="29"/>
      <c r="AB380" s="27" t="s">
        <v>2057</v>
      </c>
      <c r="AC380" s="27"/>
      <c r="AD380" s="27"/>
      <c r="AE380" s="31">
        <f>146.12</f>
        <v>146.12</v>
      </c>
      <c r="AF380" s="31"/>
      <c r="AG380" s="31"/>
    </row>
    <row r="381" spans="1:33" s="1" customFormat="1" ht="18.75" customHeight="1">
      <c r="A381" s="24" t="s">
        <v>3086</v>
      </c>
      <c r="B381" s="25" t="s">
        <v>3087</v>
      </c>
      <c r="C381" s="25"/>
      <c r="D381" s="25"/>
      <c r="E381" s="26" t="s">
        <v>3088</v>
      </c>
      <c r="F381" s="26"/>
      <c r="G381" s="26"/>
      <c r="H381" s="26"/>
      <c r="I381" s="26"/>
      <c r="J381" s="27" t="s">
        <v>2057</v>
      </c>
      <c r="K381" s="27"/>
      <c r="L381" s="27"/>
      <c r="M381" s="27"/>
      <c r="N381" s="28">
        <f>146.12</f>
        <v>146.12</v>
      </c>
      <c r="O381" s="28"/>
      <c r="P381" s="28"/>
      <c r="Q381" s="27" t="s">
        <v>2032</v>
      </c>
      <c r="R381" s="27"/>
      <c r="S381" s="29" t="s">
        <v>2032</v>
      </c>
      <c r="T381" s="29"/>
      <c r="U381" s="29"/>
      <c r="V381" s="29"/>
      <c r="W381" s="30" t="s">
        <v>2032</v>
      </c>
      <c r="X381" s="29" t="s">
        <v>2032</v>
      </c>
      <c r="Y381" s="29"/>
      <c r="Z381" s="29"/>
      <c r="AA381" s="29"/>
      <c r="AB381" s="27" t="s">
        <v>2057</v>
      </c>
      <c r="AC381" s="27"/>
      <c r="AD381" s="27"/>
      <c r="AE381" s="31">
        <f>146.12</f>
        <v>146.12</v>
      </c>
      <c r="AF381" s="31"/>
      <c r="AG381" s="31"/>
    </row>
    <row r="382" spans="1:33" s="1" customFormat="1" ht="18.75" customHeight="1">
      <c r="A382" s="24" t="s">
        <v>3089</v>
      </c>
      <c r="B382" s="25" t="s">
        <v>3090</v>
      </c>
      <c r="C382" s="25"/>
      <c r="D382" s="25"/>
      <c r="E382" s="26" t="s">
        <v>3091</v>
      </c>
      <c r="F382" s="26"/>
      <c r="G382" s="26"/>
      <c r="H382" s="26"/>
      <c r="I382" s="26"/>
      <c r="J382" s="27" t="s">
        <v>2056</v>
      </c>
      <c r="K382" s="27"/>
      <c r="L382" s="27"/>
      <c r="M382" s="27"/>
      <c r="N382" s="28">
        <f>416</f>
        <v>416</v>
      </c>
      <c r="O382" s="28"/>
      <c r="P382" s="28"/>
      <c r="Q382" s="27" t="s">
        <v>2032</v>
      </c>
      <c r="R382" s="27"/>
      <c r="S382" s="29" t="s">
        <v>2032</v>
      </c>
      <c r="T382" s="29"/>
      <c r="U382" s="29"/>
      <c r="V382" s="29"/>
      <c r="W382" s="30" t="s">
        <v>2032</v>
      </c>
      <c r="X382" s="29" t="s">
        <v>2032</v>
      </c>
      <c r="Y382" s="29"/>
      <c r="Z382" s="29"/>
      <c r="AA382" s="29"/>
      <c r="AB382" s="27" t="s">
        <v>2056</v>
      </c>
      <c r="AC382" s="27"/>
      <c r="AD382" s="27"/>
      <c r="AE382" s="31">
        <f>416</f>
        <v>416</v>
      </c>
      <c r="AF382" s="31"/>
      <c r="AG382" s="31"/>
    </row>
    <row r="383" spans="1:33" s="1" customFormat="1" ht="46.5" customHeight="1">
      <c r="A383" s="24" t="s">
        <v>3092</v>
      </c>
      <c r="B383" s="25" t="s">
        <v>3093</v>
      </c>
      <c r="C383" s="25"/>
      <c r="D383" s="25"/>
      <c r="E383" s="26" t="s">
        <v>3094</v>
      </c>
      <c r="F383" s="26"/>
      <c r="G383" s="26"/>
      <c r="H383" s="26"/>
      <c r="I383" s="26"/>
      <c r="J383" s="27" t="s">
        <v>2056</v>
      </c>
      <c r="K383" s="27"/>
      <c r="L383" s="27"/>
      <c r="M383" s="27"/>
      <c r="N383" s="28">
        <f>416</f>
        <v>416</v>
      </c>
      <c r="O383" s="28"/>
      <c r="P383" s="28"/>
      <c r="Q383" s="27" t="s">
        <v>2032</v>
      </c>
      <c r="R383" s="27"/>
      <c r="S383" s="29" t="s">
        <v>2032</v>
      </c>
      <c r="T383" s="29"/>
      <c r="U383" s="29"/>
      <c r="V383" s="29"/>
      <c r="W383" s="30" t="s">
        <v>2032</v>
      </c>
      <c r="X383" s="29" t="s">
        <v>2032</v>
      </c>
      <c r="Y383" s="29"/>
      <c r="Z383" s="29"/>
      <c r="AA383" s="29"/>
      <c r="AB383" s="27" t="s">
        <v>2056</v>
      </c>
      <c r="AC383" s="27"/>
      <c r="AD383" s="27"/>
      <c r="AE383" s="31">
        <f>416</f>
        <v>416</v>
      </c>
      <c r="AF383" s="31"/>
      <c r="AG383" s="31"/>
    </row>
    <row r="384" spans="1:33" s="1" customFormat="1" ht="18.75" customHeight="1">
      <c r="A384" s="24" t="s">
        <v>3095</v>
      </c>
      <c r="B384" s="25" t="s">
        <v>3096</v>
      </c>
      <c r="C384" s="25"/>
      <c r="D384" s="25"/>
      <c r="E384" s="26" t="s">
        <v>3097</v>
      </c>
      <c r="F384" s="26"/>
      <c r="G384" s="26"/>
      <c r="H384" s="26"/>
      <c r="I384" s="26"/>
      <c r="J384" s="27" t="s">
        <v>2056</v>
      </c>
      <c r="K384" s="27"/>
      <c r="L384" s="27"/>
      <c r="M384" s="27"/>
      <c r="N384" s="28">
        <f>416</f>
        <v>416</v>
      </c>
      <c r="O384" s="28"/>
      <c r="P384" s="28"/>
      <c r="Q384" s="27" t="s">
        <v>2032</v>
      </c>
      <c r="R384" s="27"/>
      <c r="S384" s="29" t="s">
        <v>2032</v>
      </c>
      <c r="T384" s="29"/>
      <c r="U384" s="29"/>
      <c r="V384" s="29"/>
      <c r="W384" s="30" t="s">
        <v>2032</v>
      </c>
      <c r="X384" s="29" t="s">
        <v>2032</v>
      </c>
      <c r="Y384" s="29"/>
      <c r="Z384" s="29"/>
      <c r="AA384" s="29"/>
      <c r="AB384" s="27" t="s">
        <v>2056</v>
      </c>
      <c r="AC384" s="27"/>
      <c r="AD384" s="27"/>
      <c r="AE384" s="31">
        <f>416</f>
        <v>416</v>
      </c>
      <c r="AF384" s="31"/>
      <c r="AG384" s="31"/>
    </row>
    <row r="385" spans="1:33" s="1" customFormat="1" ht="61.5" customHeight="1">
      <c r="A385" s="24" t="s">
        <v>3098</v>
      </c>
      <c r="B385" s="25" t="s">
        <v>3099</v>
      </c>
      <c r="C385" s="25"/>
      <c r="D385" s="25"/>
      <c r="E385" s="26" t="s">
        <v>3100</v>
      </c>
      <c r="F385" s="26"/>
      <c r="G385" s="26"/>
      <c r="H385" s="26"/>
      <c r="I385" s="26"/>
      <c r="J385" s="27" t="s">
        <v>2056</v>
      </c>
      <c r="K385" s="27"/>
      <c r="L385" s="27"/>
      <c r="M385" s="27"/>
      <c r="N385" s="28">
        <f>325</f>
        <v>325</v>
      </c>
      <c r="O385" s="28"/>
      <c r="P385" s="28"/>
      <c r="Q385" s="27" t="s">
        <v>2032</v>
      </c>
      <c r="R385" s="27"/>
      <c r="S385" s="29" t="s">
        <v>2032</v>
      </c>
      <c r="T385" s="29"/>
      <c r="U385" s="29"/>
      <c r="V385" s="29"/>
      <c r="W385" s="30" t="s">
        <v>2032</v>
      </c>
      <c r="X385" s="29" t="s">
        <v>2032</v>
      </c>
      <c r="Y385" s="29"/>
      <c r="Z385" s="29"/>
      <c r="AA385" s="29"/>
      <c r="AB385" s="27" t="s">
        <v>2056</v>
      </c>
      <c r="AC385" s="27"/>
      <c r="AD385" s="27"/>
      <c r="AE385" s="31">
        <f>325</f>
        <v>325</v>
      </c>
      <c r="AF385" s="31"/>
      <c r="AG385" s="31"/>
    </row>
    <row r="386" spans="1:33" s="1" customFormat="1" ht="46.5" customHeight="1">
      <c r="A386" s="24" t="s">
        <v>3101</v>
      </c>
      <c r="B386" s="25" t="s">
        <v>3102</v>
      </c>
      <c r="C386" s="25"/>
      <c r="D386" s="25"/>
      <c r="E386" s="26" t="s">
        <v>3103</v>
      </c>
      <c r="F386" s="26"/>
      <c r="G386" s="26"/>
      <c r="H386" s="26"/>
      <c r="I386" s="26"/>
      <c r="J386" s="27" t="s">
        <v>2056</v>
      </c>
      <c r="K386" s="27"/>
      <c r="L386" s="27"/>
      <c r="M386" s="27"/>
      <c r="N386" s="28">
        <f>325</f>
        <v>325</v>
      </c>
      <c r="O386" s="28"/>
      <c r="P386" s="28"/>
      <c r="Q386" s="27" t="s">
        <v>2032</v>
      </c>
      <c r="R386" s="27"/>
      <c r="S386" s="29" t="s">
        <v>2032</v>
      </c>
      <c r="T386" s="29"/>
      <c r="U386" s="29"/>
      <c r="V386" s="29"/>
      <c r="W386" s="30" t="s">
        <v>2032</v>
      </c>
      <c r="X386" s="29" t="s">
        <v>2032</v>
      </c>
      <c r="Y386" s="29"/>
      <c r="Z386" s="29"/>
      <c r="AA386" s="29"/>
      <c r="AB386" s="27" t="s">
        <v>2056</v>
      </c>
      <c r="AC386" s="27"/>
      <c r="AD386" s="27"/>
      <c r="AE386" s="31">
        <f>325</f>
        <v>325</v>
      </c>
      <c r="AF386" s="31"/>
      <c r="AG386" s="31"/>
    </row>
    <row r="387" spans="1:33" s="1" customFormat="1" ht="46.5" customHeight="1">
      <c r="A387" s="24" t="s">
        <v>3104</v>
      </c>
      <c r="B387" s="25" t="s">
        <v>3105</v>
      </c>
      <c r="C387" s="25"/>
      <c r="D387" s="25"/>
      <c r="E387" s="26" t="s">
        <v>3106</v>
      </c>
      <c r="F387" s="26"/>
      <c r="G387" s="26"/>
      <c r="H387" s="26"/>
      <c r="I387" s="26"/>
      <c r="J387" s="27" t="s">
        <v>2056</v>
      </c>
      <c r="K387" s="27"/>
      <c r="L387" s="27"/>
      <c r="M387" s="27"/>
      <c r="N387" s="28">
        <f>325</f>
        <v>325</v>
      </c>
      <c r="O387" s="28"/>
      <c r="P387" s="28"/>
      <c r="Q387" s="27" t="s">
        <v>2032</v>
      </c>
      <c r="R387" s="27"/>
      <c r="S387" s="29" t="s">
        <v>2032</v>
      </c>
      <c r="T387" s="29"/>
      <c r="U387" s="29"/>
      <c r="V387" s="29"/>
      <c r="W387" s="30" t="s">
        <v>2032</v>
      </c>
      <c r="X387" s="29" t="s">
        <v>2032</v>
      </c>
      <c r="Y387" s="29"/>
      <c r="Z387" s="29"/>
      <c r="AA387" s="29"/>
      <c r="AB387" s="27" t="s">
        <v>2056</v>
      </c>
      <c r="AC387" s="27"/>
      <c r="AD387" s="27"/>
      <c r="AE387" s="31">
        <f>325</f>
        <v>325</v>
      </c>
      <c r="AF387" s="31"/>
      <c r="AG387" s="31"/>
    </row>
    <row r="388" spans="1:33" s="1" customFormat="1" ht="33" customHeight="1">
      <c r="A388" s="24" t="s">
        <v>3107</v>
      </c>
      <c r="B388" s="25" t="s">
        <v>3108</v>
      </c>
      <c r="C388" s="25"/>
      <c r="D388" s="25"/>
      <c r="E388" s="26" t="s">
        <v>3109</v>
      </c>
      <c r="F388" s="26"/>
      <c r="G388" s="26"/>
      <c r="H388" s="26"/>
      <c r="I388" s="26"/>
      <c r="J388" s="27" t="s">
        <v>2056</v>
      </c>
      <c r="K388" s="27"/>
      <c r="L388" s="27"/>
      <c r="M388" s="27"/>
      <c r="N388" s="28">
        <f>325</f>
        <v>325</v>
      </c>
      <c r="O388" s="28"/>
      <c r="P388" s="28"/>
      <c r="Q388" s="27" t="s">
        <v>2032</v>
      </c>
      <c r="R388" s="27"/>
      <c r="S388" s="29" t="s">
        <v>2032</v>
      </c>
      <c r="T388" s="29"/>
      <c r="U388" s="29"/>
      <c r="V388" s="29"/>
      <c r="W388" s="30" t="s">
        <v>2032</v>
      </c>
      <c r="X388" s="29" t="s">
        <v>2032</v>
      </c>
      <c r="Y388" s="29"/>
      <c r="Z388" s="29"/>
      <c r="AA388" s="29"/>
      <c r="AB388" s="27" t="s">
        <v>2056</v>
      </c>
      <c r="AC388" s="27"/>
      <c r="AD388" s="27"/>
      <c r="AE388" s="31">
        <f>325</f>
        <v>325</v>
      </c>
      <c r="AF388" s="31"/>
      <c r="AG388" s="31"/>
    </row>
    <row r="389" spans="1:33" s="1" customFormat="1" ht="18.75" customHeight="1">
      <c r="A389" s="24" t="s">
        <v>3110</v>
      </c>
      <c r="B389" s="25" t="s">
        <v>3111</v>
      </c>
      <c r="C389" s="25"/>
      <c r="D389" s="25"/>
      <c r="E389" s="26" t="s">
        <v>3112</v>
      </c>
      <c r="F389" s="26"/>
      <c r="G389" s="26"/>
      <c r="H389" s="26"/>
      <c r="I389" s="26"/>
      <c r="J389" s="27" t="s">
        <v>2064</v>
      </c>
      <c r="K389" s="27"/>
      <c r="L389" s="27"/>
      <c r="M389" s="27"/>
      <c r="N389" s="28">
        <f>7200</f>
        <v>7200</v>
      </c>
      <c r="O389" s="28"/>
      <c r="P389" s="28"/>
      <c r="Q389" s="27" t="s">
        <v>2032</v>
      </c>
      <c r="R389" s="27"/>
      <c r="S389" s="29" t="s">
        <v>2032</v>
      </c>
      <c r="T389" s="29"/>
      <c r="U389" s="29"/>
      <c r="V389" s="29"/>
      <c r="W389" s="30" t="s">
        <v>2032</v>
      </c>
      <c r="X389" s="29" t="s">
        <v>2032</v>
      </c>
      <c r="Y389" s="29"/>
      <c r="Z389" s="29"/>
      <c r="AA389" s="29"/>
      <c r="AB389" s="27" t="s">
        <v>2064</v>
      </c>
      <c r="AC389" s="27"/>
      <c r="AD389" s="27"/>
      <c r="AE389" s="31">
        <f>7200</f>
        <v>7200</v>
      </c>
      <c r="AF389" s="31"/>
      <c r="AG389" s="31"/>
    </row>
    <row r="390" spans="1:33" s="1" customFormat="1" ht="18.75" customHeight="1">
      <c r="A390" s="24" t="s">
        <v>3113</v>
      </c>
      <c r="B390" s="25" t="s">
        <v>3114</v>
      </c>
      <c r="C390" s="25"/>
      <c r="D390" s="25"/>
      <c r="E390" s="26" t="s">
        <v>3115</v>
      </c>
      <c r="F390" s="26"/>
      <c r="G390" s="26"/>
      <c r="H390" s="26"/>
      <c r="I390" s="26"/>
      <c r="J390" s="27" t="s">
        <v>2058</v>
      </c>
      <c r="K390" s="27"/>
      <c r="L390" s="27"/>
      <c r="M390" s="27"/>
      <c r="N390" s="28">
        <f>4500</f>
        <v>4500</v>
      </c>
      <c r="O390" s="28"/>
      <c r="P390" s="28"/>
      <c r="Q390" s="27" t="s">
        <v>2032</v>
      </c>
      <c r="R390" s="27"/>
      <c r="S390" s="29" t="s">
        <v>2032</v>
      </c>
      <c r="T390" s="29"/>
      <c r="U390" s="29"/>
      <c r="V390" s="29"/>
      <c r="W390" s="30" t="s">
        <v>2032</v>
      </c>
      <c r="X390" s="29" t="s">
        <v>2032</v>
      </c>
      <c r="Y390" s="29"/>
      <c r="Z390" s="29"/>
      <c r="AA390" s="29"/>
      <c r="AB390" s="27" t="s">
        <v>2058</v>
      </c>
      <c r="AC390" s="27"/>
      <c r="AD390" s="27"/>
      <c r="AE390" s="31">
        <f>4500</f>
        <v>4500</v>
      </c>
      <c r="AF390" s="31"/>
      <c r="AG390" s="31"/>
    </row>
    <row r="391" spans="1:33" s="1" customFormat="1" ht="18.75" customHeight="1">
      <c r="A391" s="24" t="s">
        <v>3116</v>
      </c>
      <c r="B391" s="25" t="s">
        <v>3117</v>
      </c>
      <c r="C391" s="25"/>
      <c r="D391" s="25"/>
      <c r="E391" s="26" t="s">
        <v>3118</v>
      </c>
      <c r="F391" s="26"/>
      <c r="G391" s="26"/>
      <c r="H391" s="26"/>
      <c r="I391" s="26"/>
      <c r="J391" s="27" t="s">
        <v>2057</v>
      </c>
      <c r="K391" s="27"/>
      <c r="L391" s="27"/>
      <c r="M391" s="27"/>
      <c r="N391" s="28">
        <f>5336</f>
        <v>5336</v>
      </c>
      <c r="O391" s="28"/>
      <c r="P391" s="28"/>
      <c r="Q391" s="27" t="s">
        <v>2032</v>
      </c>
      <c r="R391" s="27"/>
      <c r="S391" s="29" t="s">
        <v>2032</v>
      </c>
      <c r="T391" s="29"/>
      <c r="U391" s="29"/>
      <c r="V391" s="29"/>
      <c r="W391" s="30" t="s">
        <v>2032</v>
      </c>
      <c r="X391" s="29" t="s">
        <v>2032</v>
      </c>
      <c r="Y391" s="29"/>
      <c r="Z391" s="29"/>
      <c r="AA391" s="29"/>
      <c r="AB391" s="27" t="s">
        <v>2057</v>
      </c>
      <c r="AC391" s="27"/>
      <c r="AD391" s="27"/>
      <c r="AE391" s="31">
        <f>5336</f>
        <v>5336</v>
      </c>
      <c r="AF391" s="31"/>
      <c r="AG391" s="31"/>
    </row>
    <row r="392" spans="1:33" s="1" customFormat="1" ht="18.75" customHeight="1">
      <c r="A392" s="24" t="s">
        <v>3119</v>
      </c>
      <c r="B392" s="25" t="s">
        <v>3120</v>
      </c>
      <c r="C392" s="25"/>
      <c r="D392" s="25"/>
      <c r="E392" s="26" t="s">
        <v>3121</v>
      </c>
      <c r="F392" s="26"/>
      <c r="G392" s="26"/>
      <c r="H392" s="26"/>
      <c r="I392" s="26"/>
      <c r="J392" s="27" t="s">
        <v>2060</v>
      </c>
      <c r="K392" s="27"/>
      <c r="L392" s="27"/>
      <c r="M392" s="27"/>
      <c r="N392" s="28">
        <f>115</f>
        <v>115</v>
      </c>
      <c r="O392" s="28"/>
      <c r="P392" s="28"/>
      <c r="Q392" s="27" t="s">
        <v>2032</v>
      </c>
      <c r="R392" s="27"/>
      <c r="S392" s="29" t="s">
        <v>2032</v>
      </c>
      <c r="T392" s="29"/>
      <c r="U392" s="29"/>
      <c r="V392" s="29"/>
      <c r="W392" s="30" t="s">
        <v>2032</v>
      </c>
      <c r="X392" s="29" t="s">
        <v>2032</v>
      </c>
      <c r="Y392" s="29"/>
      <c r="Z392" s="29"/>
      <c r="AA392" s="29"/>
      <c r="AB392" s="27" t="s">
        <v>2060</v>
      </c>
      <c r="AC392" s="27"/>
      <c r="AD392" s="27"/>
      <c r="AE392" s="31">
        <f>115</f>
        <v>115</v>
      </c>
      <c r="AF392" s="31"/>
      <c r="AG392" s="31"/>
    </row>
    <row r="393" spans="1:33" s="1" customFormat="1" ht="18.75" customHeight="1">
      <c r="A393" s="24" t="s">
        <v>3122</v>
      </c>
      <c r="B393" s="25" t="s">
        <v>3123</v>
      </c>
      <c r="C393" s="25"/>
      <c r="D393" s="25"/>
      <c r="E393" s="26" t="s">
        <v>3124</v>
      </c>
      <c r="F393" s="26"/>
      <c r="G393" s="26"/>
      <c r="H393" s="26"/>
      <c r="I393" s="26"/>
      <c r="J393" s="27" t="s">
        <v>2056</v>
      </c>
      <c r="K393" s="27"/>
      <c r="L393" s="27"/>
      <c r="M393" s="27"/>
      <c r="N393" s="28">
        <f>300</f>
        <v>300</v>
      </c>
      <c r="O393" s="28"/>
      <c r="P393" s="28"/>
      <c r="Q393" s="27" t="s">
        <v>2032</v>
      </c>
      <c r="R393" s="27"/>
      <c r="S393" s="29" t="s">
        <v>2032</v>
      </c>
      <c r="T393" s="29"/>
      <c r="U393" s="29"/>
      <c r="V393" s="29"/>
      <c r="W393" s="30" t="s">
        <v>2032</v>
      </c>
      <c r="X393" s="29" t="s">
        <v>2032</v>
      </c>
      <c r="Y393" s="29"/>
      <c r="Z393" s="29"/>
      <c r="AA393" s="29"/>
      <c r="AB393" s="27" t="s">
        <v>2056</v>
      </c>
      <c r="AC393" s="27"/>
      <c r="AD393" s="27"/>
      <c r="AE393" s="31">
        <f>300</f>
        <v>300</v>
      </c>
      <c r="AF393" s="31"/>
      <c r="AG393" s="31"/>
    </row>
    <row r="394" spans="1:33" s="1" customFormat="1" ht="46.5" customHeight="1">
      <c r="A394" s="24" t="s">
        <v>3125</v>
      </c>
      <c r="B394" s="25" t="s">
        <v>3126</v>
      </c>
      <c r="C394" s="25"/>
      <c r="D394" s="25"/>
      <c r="E394" s="26" t="s">
        <v>3127</v>
      </c>
      <c r="F394" s="26"/>
      <c r="G394" s="26"/>
      <c r="H394" s="26"/>
      <c r="I394" s="26"/>
      <c r="J394" s="27" t="s">
        <v>2056</v>
      </c>
      <c r="K394" s="27"/>
      <c r="L394" s="27"/>
      <c r="M394" s="27"/>
      <c r="N394" s="28">
        <f>325</f>
        <v>325</v>
      </c>
      <c r="O394" s="28"/>
      <c r="P394" s="28"/>
      <c r="Q394" s="27" t="s">
        <v>2032</v>
      </c>
      <c r="R394" s="27"/>
      <c r="S394" s="29" t="s">
        <v>2032</v>
      </c>
      <c r="T394" s="29"/>
      <c r="U394" s="29"/>
      <c r="V394" s="29"/>
      <c r="W394" s="30" t="s">
        <v>2032</v>
      </c>
      <c r="X394" s="29" t="s">
        <v>2032</v>
      </c>
      <c r="Y394" s="29"/>
      <c r="Z394" s="29"/>
      <c r="AA394" s="29"/>
      <c r="AB394" s="27" t="s">
        <v>2056</v>
      </c>
      <c r="AC394" s="27"/>
      <c r="AD394" s="27"/>
      <c r="AE394" s="31">
        <f>325</f>
        <v>325</v>
      </c>
      <c r="AF394" s="31"/>
      <c r="AG394" s="31"/>
    </row>
    <row r="395" spans="1:33" s="1" customFormat="1" ht="33" customHeight="1">
      <c r="A395" s="24" t="s">
        <v>3128</v>
      </c>
      <c r="B395" s="25" t="s">
        <v>3129</v>
      </c>
      <c r="C395" s="25"/>
      <c r="D395" s="25"/>
      <c r="E395" s="26" t="s">
        <v>3130</v>
      </c>
      <c r="F395" s="26"/>
      <c r="G395" s="26"/>
      <c r="H395" s="26"/>
      <c r="I395" s="26"/>
      <c r="J395" s="27" t="s">
        <v>2056</v>
      </c>
      <c r="K395" s="27"/>
      <c r="L395" s="27"/>
      <c r="M395" s="27"/>
      <c r="N395" s="28">
        <f>325</f>
        <v>325</v>
      </c>
      <c r="O395" s="28"/>
      <c r="P395" s="28"/>
      <c r="Q395" s="27" t="s">
        <v>2032</v>
      </c>
      <c r="R395" s="27"/>
      <c r="S395" s="29" t="s">
        <v>2032</v>
      </c>
      <c r="T395" s="29"/>
      <c r="U395" s="29"/>
      <c r="V395" s="29"/>
      <c r="W395" s="30" t="s">
        <v>2032</v>
      </c>
      <c r="X395" s="29" t="s">
        <v>2032</v>
      </c>
      <c r="Y395" s="29"/>
      <c r="Z395" s="29"/>
      <c r="AA395" s="29"/>
      <c r="AB395" s="27" t="s">
        <v>2056</v>
      </c>
      <c r="AC395" s="27"/>
      <c r="AD395" s="27"/>
      <c r="AE395" s="31">
        <f>325</f>
        <v>325</v>
      </c>
      <c r="AF395" s="31"/>
      <c r="AG395" s="31"/>
    </row>
    <row r="396" spans="1:33" s="1" customFormat="1" ht="33" customHeight="1">
      <c r="A396" s="24" t="s">
        <v>3131</v>
      </c>
      <c r="B396" s="25" t="s">
        <v>3132</v>
      </c>
      <c r="C396" s="25"/>
      <c r="D396" s="25"/>
      <c r="E396" s="26" t="s">
        <v>3133</v>
      </c>
      <c r="F396" s="26"/>
      <c r="G396" s="26"/>
      <c r="H396" s="26"/>
      <c r="I396" s="26"/>
      <c r="J396" s="27" t="s">
        <v>2056</v>
      </c>
      <c r="K396" s="27"/>
      <c r="L396" s="27"/>
      <c r="M396" s="27"/>
      <c r="N396" s="28">
        <f>241.9</f>
        <v>241.9</v>
      </c>
      <c r="O396" s="28"/>
      <c r="P396" s="28"/>
      <c r="Q396" s="27" t="s">
        <v>2032</v>
      </c>
      <c r="R396" s="27"/>
      <c r="S396" s="29" t="s">
        <v>2032</v>
      </c>
      <c r="T396" s="29"/>
      <c r="U396" s="29"/>
      <c r="V396" s="29"/>
      <c r="W396" s="30" t="s">
        <v>2032</v>
      </c>
      <c r="X396" s="29" t="s">
        <v>2032</v>
      </c>
      <c r="Y396" s="29"/>
      <c r="Z396" s="29"/>
      <c r="AA396" s="29"/>
      <c r="AB396" s="27" t="s">
        <v>2056</v>
      </c>
      <c r="AC396" s="27"/>
      <c r="AD396" s="27"/>
      <c r="AE396" s="31">
        <f>241.9</f>
        <v>241.9</v>
      </c>
      <c r="AF396" s="31"/>
      <c r="AG396" s="31"/>
    </row>
    <row r="397" spans="1:33" s="1" customFormat="1" ht="33" customHeight="1">
      <c r="A397" s="24" t="s">
        <v>3134</v>
      </c>
      <c r="B397" s="25" t="s">
        <v>3135</v>
      </c>
      <c r="C397" s="25"/>
      <c r="D397" s="25"/>
      <c r="E397" s="26" t="s">
        <v>3136</v>
      </c>
      <c r="F397" s="26"/>
      <c r="G397" s="26"/>
      <c r="H397" s="26"/>
      <c r="I397" s="26"/>
      <c r="J397" s="27" t="s">
        <v>2056</v>
      </c>
      <c r="K397" s="27"/>
      <c r="L397" s="27"/>
      <c r="M397" s="27"/>
      <c r="N397" s="28">
        <f>325</f>
        <v>325</v>
      </c>
      <c r="O397" s="28"/>
      <c r="P397" s="28"/>
      <c r="Q397" s="27" t="s">
        <v>2032</v>
      </c>
      <c r="R397" s="27"/>
      <c r="S397" s="29" t="s">
        <v>2032</v>
      </c>
      <c r="T397" s="29"/>
      <c r="U397" s="29"/>
      <c r="V397" s="29"/>
      <c r="W397" s="30" t="s">
        <v>2032</v>
      </c>
      <c r="X397" s="29" t="s">
        <v>2032</v>
      </c>
      <c r="Y397" s="29"/>
      <c r="Z397" s="29"/>
      <c r="AA397" s="29"/>
      <c r="AB397" s="27" t="s">
        <v>2056</v>
      </c>
      <c r="AC397" s="27"/>
      <c r="AD397" s="27"/>
      <c r="AE397" s="31">
        <f>325</f>
        <v>325</v>
      </c>
      <c r="AF397" s="31"/>
      <c r="AG397" s="31"/>
    </row>
    <row r="398" spans="1:33" s="1" customFormat="1" ht="46.5" customHeight="1">
      <c r="A398" s="24" t="s">
        <v>2043</v>
      </c>
      <c r="B398" s="25" t="s">
        <v>3137</v>
      </c>
      <c r="C398" s="25"/>
      <c r="D398" s="25"/>
      <c r="E398" s="26" t="s">
        <v>3138</v>
      </c>
      <c r="F398" s="26"/>
      <c r="G398" s="26"/>
      <c r="H398" s="26"/>
      <c r="I398" s="26"/>
      <c r="J398" s="27" t="s">
        <v>2056</v>
      </c>
      <c r="K398" s="27"/>
      <c r="L398" s="27"/>
      <c r="M398" s="27"/>
      <c r="N398" s="28">
        <f>325</f>
        <v>325</v>
      </c>
      <c r="O398" s="28"/>
      <c r="P398" s="28"/>
      <c r="Q398" s="27" t="s">
        <v>2032</v>
      </c>
      <c r="R398" s="27"/>
      <c r="S398" s="29" t="s">
        <v>2032</v>
      </c>
      <c r="T398" s="29"/>
      <c r="U398" s="29"/>
      <c r="V398" s="29"/>
      <c r="W398" s="30" t="s">
        <v>2032</v>
      </c>
      <c r="X398" s="29" t="s">
        <v>2032</v>
      </c>
      <c r="Y398" s="29"/>
      <c r="Z398" s="29"/>
      <c r="AA398" s="29"/>
      <c r="AB398" s="27" t="s">
        <v>2056</v>
      </c>
      <c r="AC398" s="27"/>
      <c r="AD398" s="27"/>
      <c r="AE398" s="31">
        <f>325</f>
        <v>325</v>
      </c>
      <c r="AF398" s="31"/>
      <c r="AG398" s="31"/>
    </row>
    <row r="399" spans="1:33" s="1" customFormat="1" ht="18.75" customHeight="1">
      <c r="A399" s="24" t="s">
        <v>3139</v>
      </c>
      <c r="B399" s="25" t="s">
        <v>3140</v>
      </c>
      <c r="C399" s="25"/>
      <c r="D399" s="25"/>
      <c r="E399" s="26" t="s">
        <v>3141</v>
      </c>
      <c r="F399" s="26"/>
      <c r="G399" s="26"/>
      <c r="H399" s="26"/>
      <c r="I399" s="26"/>
      <c r="J399" s="27" t="s">
        <v>2056</v>
      </c>
      <c r="K399" s="27"/>
      <c r="L399" s="27"/>
      <c r="M399" s="27"/>
      <c r="N399" s="28">
        <f>325</f>
        <v>325</v>
      </c>
      <c r="O399" s="28"/>
      <c r="P399" s="28"/>
      <c r="Q399" s="27" t="s">
        <v>2032</v>
      </c>
      <c r="R399" s="27"/>
      <c r="S399" s="29" t="s">
        <v>2032</v>
      </c>
      <c r="T399" s="29"/>
      <c r="U399" s="29"/>
      <c r="V399" s="29"/>
      <c r="W399" s="30" t="s">
        <v>2032</v>
      </c>
      <c r="X399" s="29" t="s">
        <v>2032</v>
      </c>
      <c r="Y399" s="29"/>
      <c r="Z399" s="29"/>
      <c r="AA399" s="29"/>
      <c r="AB399" s="27" t="s">
        <v>2056</v>
      </c>
      <c r="AC399" s="27"/>
      <c r="AD399" s="27"/>
      <c r="AE399" s="31">
        <f>325</f>
        <v>325</v>
      </c>
      <c r="AF399" s="31"/>
      <c r="AG399" s="31"/>
    </row>
    <row r="400" spans="1:33" s="1" customFormat="1" ht="18.75" customHeight="1">
      <c r="A400" s="24" t="s">
        <v>3142</v>
      </c>
      <c r="B400" s="25" t="s">
        <v>3143</v>
      </c>
      <c r="C400" s="25"/>
      <c r="D400" s="25"/>
      <c r="E400" s="26" t="s">
        <v>3144</v>
      </c>
      <c r="F400" s="26"/>
      <c r="G400" s="26"/>
      <c r="H400" s="26"/>
      <c r="I400" s="26"/>
      <c r="J400" s="27" t="s">
        <v>2056</v>
      </c>
      <c r="K400" s="27"/>
      <c r="L400" s="27"/>
      <c r="M400" s="27"/>
      <c r="N400" s="28">
        <f>704.14</f>
        <v>704.14</v>
      </c>
      <c r="O400" s="28"/>
      <c r="P400" s="28"/>
      <c r="Q400" s="27" t="s">
        <v>2032</v>
      </c>
      <c r="R400" s="27"/>
      <c r="S400" s="29" t="s">
        <v>2032</v>
      </c>
      <c r="T400" s="29"/>
      <c r="U400" s="29"/>
      <c r="V400" s="29"/>
      <c r="W400" s="30" t="s">
        <v>2032</v>
      </c>
      <c r="X400" s="29" t="s">
        <v>2032</v>
      </c>
      <c r="Y400" s="29"/>
      <c r="Z400" s="29"/>
      <c r="AA400" s="29"/>
      <c r="AB400" s="27" t="s">
        <v>2056</v>
      </c>
      <c r="AC400" s="27"/>
      <c r="AD400" s="27"/>
      <c r="AE400" s="31">
        <f>704.14</f>
        <v>704.14</v>
      </c>
      <c r="AF400" s="31"/>
      <c r="AG400" s="31"/>
    </row>
    <row r="401" spans="1:33" s="1" customFormat="1" ht="18.75" customHeight="1">
      <c r="A401" s="24" t="s">
        <v>3145</v>
      </c>
      <c r="B401" s="25" t="s">
        <v>3146</v>
      </c>
      <c r="C401" s="25"/>
      <c r="D401" s="25"/>
      <c r="E401" s="26" t="s">
        <v>3147</v>
      </c>
      <c r="F401" s="26"/>
      <c r="G401" s="26"/>
      <c r="H401" s="26"/>
      <c r="I401" s="26"/>
      <c r="J401" s="27" t="s">
        <v>2057</v>
      </c>
      <c r="K401" s="27"/>
      <c r="L401" s="27"/>
      <c r="M401" s="27"/>
      <c r="N401" s="28">
        <f>584.5</f>
        <v>584.5</v>
      </c>
      <c r="O401" s="28"/>
      <c r="P401" s="28"/>
      <c r="Q401" s="27" t="s">
        <v>2032</v>
      </c>
      <c r="R401" s="27"/>
      <c r="S401" s="29" t="s">
        <v>2032</v>
      </c>
      <c r="T401" s="29"/>
      <c r="U401" s="29"/>
      <c r="V401" s="29"/>
      <c r="W401" s="30" t="s">
        <v>2032</v>
      </c>
      <c r="X401" s="29" t="s">
        <v>2032</v>
      </c>
      <c r="Y401" s="29"/>
      <c r="Z401" s="29"/>
      <c r="AA401" s="29"/>
      <c r="AB401" s="27" t="s">
        <v>2057</v>
      </c>
      <c r="AC401" s="27"/>
      <c r="AD401" s="27"/>
      <c r="AE401" s="31">
        <f>584.5</f>
        <v>584.5</v>
      </c>
      <c r="AF401" s="31"/>
      <c r="AG401" s="31"/>
    </row>
    <row r="402" spans="1:33" s="1" customFormat="1" ht="18.75" customHeight="1">
      <c r="A402" s="24" t="s">
        <v>3148</v>
      </c>
      <c r="B402" s="25" t="s">
        <v>3149</v>
      </c>
      <c r="C402" s="25"/>
      <c r="D402" s="25"/>
      <c r="E402" s="26" t="s">
        <v>3147</v>
      </c>
      <c r="F402" s="26"/>
      <c r="G402" s="26"/>
      <c r="H402" s="26"/>
      <c r="I402" s="26"/>
      <c r="J402" s="27" t="s">
        <v>2056</v>
      </c>
      <c r="K402" s="27"/>
      <c r="L402" s="27"/>
      <c r="M402" s="27"/>
      <c r="N402" s="28">
        <f>721</f>
        <v>721</v>
      </c>
      <c r="O402" s="28"/>
      <c r="P402" s="28"/>
      <c r="Q402" s="27" t="s">
        <v>2032</v>
      </c>
      <c r="R402" s="27"/>
      <c r="S402" s="29" t="s">
        <v>2032</v>
      </c>
      <c r="T402" s="29"/>
      <c r="U402" s="29"/>
      <c r="V402" s="29"/>
      <c r="W402" s="30" t="s">
        <v>2032</v>
      </c>
      <c r="X402" s="29" t="s">
        <v>2032</v>
      </c>
      <c r="Y402" s="29"/>
      <c r="Z402" s="29"/>
      <c r="AA402" s="29"/>
      <c r="AB402" s="27" t="s">
        <v>2056</v>
      </c>
      <c r="AC402" s="27"/>
      <c r="AD402" s="27"/>
      <c r="AE402" s="31">
        <f>721</f>
        <v>721</v>
      </c>
      <c r="AF402" s="31"/>
      <c r="AG402" s="31"/>
    </row>
    <row r="403" spans="1:33" s="1" customFormat="1" ht="18.75" customHeight="1">
      <c r="A403" s="24" t="s">
        <v>3150</v>
      </c>
      <c r="B403" s="25" t="s">
        <v>3151</v>
      </c>
      <c r="C403" s="25"/>
      <c r="D403" s="25"/>
      <c r="E403" s="26" t="s">
        <v>3152</v>
      </c>
      <c r="F403" s="26"/>
      <c r="G403" s="26"/>
      <c r="H403" s="26"/>
      <c r="I403" s="26"/>
      <c r="J403" s="27" t="s">
        <v>2056</v>
      </c>
      <c r="K403" s="27"/>
      <c r="L403" s="27"/>
      <c r="M403" s="27"/>
      <c r="N403" s="28">
        <f>710.7</f>
        <v>710.7</v>
      </c>
      <c r="O403" s="28"/>
      <c r="P403" s="28"/>
      <c r="Q403" s="27" t="s">
        <v>2032</v>
      </c>
      <c r="R403" s="27"/>
      <c r="S403" s="29" t="s">
        <v>2032</v>
      </c>
      <c r="T403" s="29"/>
      <c r="U403" s="29"/>
      <c r="V403" s="29"/>
      <c r="W403" s="30" t="s">
        <v>2032</v>
      </c>
      <c r="X403" s="29" t="s">
        <v>2032</v>
      </c>
      <c r="Y403" s="29"/>
      <c r="Z403" s="29"/>
      <c r="AA403" s="29"/>
      <c r="AB403" s="27" t="s">
        <v>2056</v>
      </c>
      <c r="AC403" s="27"/>
      <c r="AD403" s="27"/>
      <c r="AE403" s="31">
        <f>710.7</f>
        <v>710.7</v>
      </c>
      <c r="AF403" s="31"/>
      <c r="AG403" s="31"/>
    </row>
    <row r="404" spans="1:33" s="1" customFormat="1" ht="18.75" customHeight="1">
      <c r="A404" s="24" t="s">
        <v>3153</v>
      </c>
      <c r="B404" s="25" t="s">
        <v>3154</v>
      </c>
      <c r="C404" s="25"/>
      <c r="D404" s="25"/>
      <c r="E404" s="26" t="s">
        <v>3152</v>
      </c>
      <c r="F404" s="26"/>
      <c r="G404" s="26"/>
      <c r="H404" s="26"/>
      <c r="I404" s="26"/>
      <c r="J404" s="27" t="s">
        <v>2057</v>
      </c>
      <c r="K404" s="27"/>
      <c r="L404" s="27"/>
      <c r="M404" s="27"/>
      <c r="N404" s="28">
        <f>584.5</f>
        <v>584.5</v>
      </c>
      <c r="O404" s="28"/>
      <c r="P404" s="28"/>
      <c r="Q404" s="27" t="s">
        <v>2032</v>
      </c>
      <c r="R404" s="27"/>
      <c r="S404" s="29" t="s">
        <v>2032</v>
      </c>
      <c r="T404" s="29"/>
      <c r="U404" s="29"/>
      <c r="V404" s="29"/>
      <c r="W404" s="30" t="s">
        <v>2032</v>
      </c>
      <c r="X404" s="29" t="s">
        <v>2032</v>
      </c>
      <c r="Y404" s="29"/>
      <c r="Z404" s="29"/>
      <c r="AA404" s="29"/>
      <c r="AB404" s="27" t="s">
        <v>2057</v>
      </c>
      <c r="AC404" s="27"/>
      <c r="AD404" s="27"/>
      <c r="AE404" s="31">
        <f>584.5</f>
        <v>584.5</v>
      </c>
      <c r="AF404" s="31"/>
      <c r="AG404" s="31"/>
    </row>
    <row r="405" spans="1:33" s="1" customFormat="1" ht="18.75" customHeight="1">
      <c r="A405" s="24" t="s">
        <v>3155</v>
      </c>
      <c r="B405" s="25" t="s">
        <v>3156</v>
      </c>
      <c r="C405" s="25"/>
      <c r="D405" s="25"/>
      <c r="E405" s="26" t="s">
        <v>3157</v>
      </c>
      <c r="F405" s="26"/>
      <c r="G405" s="26"/>
      <c r="H405" s="26"/>
      <c r="I405" s="26"/>
      <c r="J405" s="27" t="s">
        <v>2056</v>
      </c>
      <c r="K405" s="27"/>
      <c r="L405" s="27"/>
      <c r="M405" s="27"/>
      <c r="N405" s="28">
        <f>73.06</f>
        <v>73.06</v>
      </c>
      <c r="O405" s="28"/>
      <c r="P405" s="28"/>
      <c r="Q405" s="27" t="s">
        <v>2032</v>
      </c>
      <c r="R405" s="27"/>
      <c r="S405" s="29" t="s">
        <v>2032</v>
      </c>
      <c r="T405" s="29"/>
      <c r="U405" s="29"/>
      <c r="V405" s="29"/>
      <c r="W405" s="30" t="s">
        <v>2032</v>
      </c>
      <c r="X405" s="29" t="s">
        <v>2032</v>
      </c>
      <c r="Y405" s="29"/>
      <c r="Z405" s="29"/>
      <c r="AA405" s="29"/>
      <c r="AB405" s="27" t="s">
        <v>2056</v>
      </c>
      <c r="AC405" s="27"/>
      <c r="AD405" s="27"/>
      <c r="AE405" s="31">
        <f>73.06</f>
        <v>73.06</v>
      </c>
      <c r="AF405" s="31"/>
      <c r="AG405" s="31"/>
    </row>
    <row r="406" spans="1:33" s="1" customFormat="1" ht="18.75" customHeight="1">
      <c r="A406" s="24" t="s">
        <v>3158</v>
      </c>
      <c r="B406" s="25" t="s">
        <v>3159</v>
      </c>
      <c r="C406" s="25"/>
      <c r="D406" s="25"/>
      <c r="E406" s="26" t="s">
        <v>3160</v>
      </c>
      <c r="F406" s="26"/>
      <c r="G406" s="26"/>
      <c r="H406" s="26"/>
      <c r="I406" s="26"/>
      <c r="J406" s="27" t="s">
        <v>2056</v>
      </c>
      <c r="K406" s="27"/>
      <c r="L406" s="27"/>
      <c r="M406" s="27"/>
      <c r="N406" s="28">
        <f>120</f>
        <v>120</v>
      </c>
      <c r="O406" s="28"/>
      <c r="P406" s="28"/>
      <c r="Q406" s="27" t="s">
        <v>2032</v>
      </c>
      <c r="R406" s="27"/>
      <c r="S406" s="29" t="s">
        <v>2032</v>
      </c>
      <c r="T406" s="29"/>
      <c r="U406" s="29"/>
      <c r="V406" s="29"/>
      <c r="W406" s="30" t="s">
        <v>2032</v>
      </c>
      <c r="X406" s="29" t="s">
        <v>2032</v>
      </c>
      <c r="Y406" s="29"/>
      <c r="Z406" s="29"/>
      <c r="AA406" s="29"/>
      <c r="AB406" s="27" t="s">
        <v>2056</v>
      </c>
      <c r="AC406" s="27"/>
      <c r="AD406" s="27"/>
      <c r="AE406" s="31">
        <f>120</f>
        <v>120</v>
      </c>
      <c r="AF406" s="31"/>
      <c r="AG406" s="31"/>
    </row>
    <row r="407" spans="1:33" s="1" customFormat="1" ht="18.75" customHeight="1">
      <c r="A407" s="24" t="s">
        <v>3161</v>
      </c>
      <c r="B407" s="25" t="s">
        <v>3162</v>
      </c>
      <c r="C407" s="25"/>
      <c r="D407" s="25"/>
      <c r="E407" s="26" t="s">
        <v>3163</v>
      </c>
      <c r="F407" s="26"/>
      <c r="G407" s="26"/>
      <c r="H407" s="26"/>
      <c r="I407" s="26"/>
      <c r="J407" s="27" t="s">
        <v>2056</v>
      </c>
      <c r="K407" s="27"/>
      <c r="L407" s="27"/>
      <c r="M407" s="27"/>
      <c r="N407" s="28">
        <f>950</f>
        <v>950</v>
      </c>
      <c r="O407" s="28"/>
      <c r="P407" s="28"/>
      <c r="Q407" s="27" t="s">
        <v>2032</v>
      </c>
      <c r="R407" s="27"/>
      <c r="S407" s="29" t="s">
        <v>2032</v>
      </c>
      <c r="T407" s="29"/>
      <c r="U407" s="29"/>
      <c r="V407" s="29"/>
      <c r="W407" s="30" t="s">
        <v>2032</v>
      </c>
      <c r="X407" s="29" t="s">
        <v>2032</v>
      </c>
      <c r="Y407" s="29"/>
      <c r="Z407" s="29"/>
      <c r="AA407" s="29"/>
      <c r="AB407" s="27" t="s">
        <v>2056</v>
      </c>
      <c r="AC407" s="27"/>
      <c r="AD407" s="27"/>
      <c r="AE407" s="31">
        <f>950</f>
        <v>950</v>
      </c>
      <c r="AF407" s="31"/>
      <c r="AG407" s="31"/>
    </row>
    <row r="408" spans="1:33" s="1" customFormat="1" ht="18.75" customHeight="1">
      <c r="A408" s="24" t="s">
        <v>3164</v>
      </c>
      <c r="B408" s="25" t="s">
        <v>3165</v>
      </c>
      <c r="C408" s="25"/>
      <c r="D408" s="25"/>
      <c r="E408" s="26" t="s">
        <v>3163</v>
      </c>
      <c r="F408" s="26"/>
      <c r="G408" s="26"/>
      <c r="H408" s="26"/>
      <c r="I408" s="26"/>
      <c r="J408" s="27" t="s">
        <v>2056</v>
      </c>
      <c r="K408" s="27"/>
      <c r="L408" s="27"/>
      <c r="M408" s="27"/>
      <c r="N408" s="28">
        <f>950</f>
        <v>950</v>
      </c>
      <c r="O408" s="28"/>
      <c r="P408" s="28"/>
      <c r="Q408" s="27" t="s">
        <v>2032</v>
      </c>
      <c r="R408" s="27"/>
      <c r="S408" s="29" t="s">
        <v>2032</v>
      </c>
      <c r="T408" s="29"/>
      <c r="U408" s="29"/>
      <c r="V408" s="29"/>
      <c r="W408" s="30" t="s">
        <v>2032</v>
      </c>
      <c r="X408" s="29" t="s">
        <v>2032</v>
      </c>
      <c r="Y408" s="29"/>
      <c r="Z408" s="29"/>
      <c r="AA408" s="29"/>
      <c r="AB408" s="27" t="s">
        <v>2056</v>
      </c>
      <c r="AC408" s="27"/>
      <c r="AD408" s="27"/>
      <c r="AE408" s="31">
        <f>950</f>
        <v>950</v>
      </c>
      <c r="AF408" s="31"/>
      <c r="AG408" s="31"/>
    </row>
    <row r="409" spans="1:33" s="1" customFormat="1" ht="18.75" customHeight="1">
      <c r="A409" s="24" t="s">
        <v>3166</v>
      </c>
      <c r="B409" s="25" t="s">
        <v>3167</v>
      </c>
      <c r="C409" s="25"/>
      <c r="D409" s="25"/>
      <c r="E409" s="26" t="s">
        <v>3168</v>
      </c>
      <c r="F409" s="26"/>
      <c r="G409" s="26"/>
      <c r="H409" s="26"/>
      <c r="I409" s="26"/>
      <c r="J409" s="27" t="s">
        <v>2056</v>
      </c>
      <c r="K409" s="27"/>
      <c r="L409" s="27"/>
      <c r="M409" s="27"/>
      <c r="N409" s="28">
        <f>1125</f>
        <v>1125</v>
      </c>
      <c r="O409" s="28"/>
      <c r="P409" s="28"/>
      <c r="Q409" s="27" t="s">
        <v>2032</v>
      </c>
      <c r="R409" s="27"/>
      <c r="S409" s="29" t="s">
        <v>2032</v>
      </c>
      <c r="T409" s="29"/>
      <c r="U409" s="29"/>
      <c r="V409" s="29"/>
      <c r="W409" s="30" t="s">
        <v>2032</v>
      </c>
      <c r="X409" s="29" t="s">
        <v>2032</v>
      </c>
      <c r="Y409" s="29"/>
      <c r="Z409" s="29"/>
      <c r="AA409" s="29"/>
      <c r="AB409" s="27" t="s">
        <v>2056</v>
      </c>
      <c r="AC409" s="27"/>
      <c r="AD409" s="27"/>
      <c r="AE409" s="31">
        <f>1125</f>
        <v>1125</v>
      </c>
      <c r="AF409" s="31"/>
      <c r="AG409" s="31"/>
    </row>
    <row r="410" spans="1:33" s="1" customFormat="1" ht="18.75" customHeight="1">
      <c r="A410" s="24" t="s">
        <v>3169</v>
      </c>
      <c r="B410" s="25" t="s">
        <v>3170</v>
      </c>
      <c r="C410" s="25"/>
      <c r="D410" s="25"/>
      <c r="E410" s="26" t="s">
        <v>3168</v>
      </c>
      <c r="F410" s="26"/>
      <c r="G410" s="26"/>
      <c r="H410" s="26"/>
      <c r="I410" s="26"/>
      <c r="J410" s="27" t="s">
        <v>2056</v>
      </c>
      <c r="K410" s="27"/>
      <c r="L410" s="27"/>
      <c r="M410" s="27"/>
      <c r="N410" s="28">
        <f>1125</f>
        <v>1125</v>
      </c>
      <c r="O410" s="28"/>
      <c r="P410" s="28"/>
      <c r="Q410" s="27" t="s">
        <v>2032</v>
      </c>
      <c r="R410" s="27"/>
      <c r="S410" s="29" t="s">
        <v>2032</v>
      </c>
      <c r="T410" s="29"/>
      <c r="U410" s="29"/>
      <c r="V410" s="29"/>
      <c r="W410" s="30" t="s">
        <v>2032</v>
      </c>
      <c r="X410" s="29" t="s">
        <v>2032</v>
      </c>
      <c r="Y410" s="29"/>
      <c r="Z410" s="29"/>
      <c r="AA410" s="29"/>
      <c r="AB410" s="27" t="s">
        <v>2056</v>
      </c>
      <c r="AC410" s="27"/>
      <c r="AD410" s="27"/>
      <c r="AE410" s="31">
        <f>1125</f>
        <v>1125</v>
      </c>
      <c r="AF410" s="31"/>
      <c r="AG410" s="31"/>
    </row>
    <row r="411" spans="1:33" s="1" customFormat="1" ht="18.75" customHeight="1">
      <c r="A411" s="24" t="s">
        <v>3171</v>
      </c>
      <c r="B411" s="25" t="s">
        <v>3172</v>
      </c>
      <c r="C411" s="25"/>
      <c r="D411" s="25"/>
      <c r="E411" s="26" t="s">
        <v>3168</v>
      </c>
      <c r="F411" s="26"/>
      <c r="G411" s="26"/>
      <c r="H411" s="26"/>
      <c r="I411" s="26"/>
      <c r="J411" s="27" t="s">
        <v>2056</v>
      </c>
      <c r="K411" s="27"/>
      <c r="L411" s="27"/>
      <c r="M411" s="27"/>
      <c r="N411" s="28">
        <f>1125</f>
        <v>1125</v>
      </c>
      <c r="O411" s="28"/>
      <c r="P411" s="28"/>
      <c r="Q411" s="27" t="s">
        <v>2032</v>
      </c>
      <c r="R411" s="27"/>
      <c r="S411" s="29" t="s">
        <v>2032</v>
      </c>
      <c r="T411" s="29"/>
      <c r="U411" s="29"/>
      <c r="V411" s="29"/>
      <c r="W411" s="30" t="s">
        <v>2032</v>
      </c>
      <c r="X411" s="29" t="s">
        <v>2032</v>
      </c>
      <c r="Y411" s="29"/>
      <c r="Z411" s="29"/>
      <c r="AA411" s="29"/>
      <c r="AB411" s="27" t="s">
        <v>2056</v>
      </c>
      <c r="AC411" s="27"/>
      <c r="AD411" s="27"/>
      <c r="AE411" s="31">
        <f>1125</f>
        <v>1125</v>
      </c>
      <c r="AF411" s="31"/>
      <c r="AG411" s="31"/>
    </row>
    <row r="412" spans="1:33" s="1" customFormat="1" ht="18.75" customHeight="1">
      <c r="A412" s="24" t="s">
        <v>3173</v>
      </c>
      <c r="B412" s="25" t="s">
        <v>3174</v>
      </c>
      <c r="C412" s="25"/>
      <c r="D412" s="25"/>
      <c r="E412" s="26" t="s">
        <v>3168</v>
      </c>
      <c r="F412" s="26"/>
      <c r="G412" s="26"/>
      <c r="H412" s="26"/>
      <c r="I412" s="26"/>
      <c r="J412" s="27" t="s">
        <v>2056</v>
      </c>
      <c r="K412" s="27"/>
      <c r="L412" s="27"/>
      <c r="M412" s="27"/>
      <c r="N412" s="28">
        <f>1125</f>
        <v>1125</v>
      </c>
      <c r="O412" s="28"/>
      <c r="P412" s="28"/>
      <c r="Q412" s="27" t="s">
        <v>2032</v>
      </c>
      <c r="R412" s="27"/>
      <c r="S412" s="29" t="s">
        <v>2032</v>
      </c>
      <c r="T412" s="29"/>
      <c r="U412" s="29"/>
      <c r="V412" s="29"/>
      <c r="W412" s="30" t="s">
        <v>2032</v>
      </c>
      <c r="X412" s="29" t="s">
        <v>2032</v>
      </c>
      <c r="Y412" s="29"/>
      <c r="Z412" s="29"/>
      <c r="AA412" s="29"/>
      <c r="AB412" s="27" t="s">
        <v>2056</v>
      </c>
      <c r="AC412" s="27"/>
      <c r="AD412" s="27"/>
      <c r="AE412" s="31">
        <f>1125</f>
        <v>1125</v>
      </c>
      <c r="AF412" s="31"/>
      <c r="AG412" s="31"/>
    </row>
    <row r="413" spans="1:33" s="1" customFormat="1" ht="18.75" customHeight="1">
      <c r="A413" s="24" t="s">
        <v>3175</v>
      </c>
      <c r="B413" s="25" t="s">
        <v>3176</v>
      </c>
      <c r="C413" s="25"/>
      <c r="D413" s="25"/>
      <c r="E413" s="26" t="s">
        <v>3177</v>
      </c>
      <c r="F413" s="26"/>
      <c r="G413" s="26"/>
      <c r="H413" s="26"/>
      <c r="I413" s="26"/>
      <c r="J413" s="27" t="s">
        <v>2056</v>
      </c>
      <c r="K413" s="27"/>
      <c r="L413" s="27"/>
      <c r="M413" s="27"/>
      <c r="N413" s="28">
        <f>325</f>
        <v>325</v>
      </c>
      <c r="O413" s="28"/>
      <c r="P413" s="28"/>
      <c r="Q413" s="27" t="s">
        <v>2032</v>
      </c>
      <c r="R413" s="27"/>
      <c r="S413" s="29" t="s">
        <v>2032</v>
      </c>
      <c r="T413" s="29"/>
      <c r="U413" s="29"/>
      <c r="V413" s="29"/>
      <c r="W413" s="30" t="s">
        <v>2032</v>
      </c>
      <c r="X413" s="29" t="s">
        <v>2032</v>
      </c>
      <c r="Y413" s="29"/>
      <c r="Z413" s="29"/>
      <c r="AA413" s="29"/>
      <c r="AB413" s="27" t="s">
        <v>2056</v>
      </c>
      <c r="AC413" s="27"/>
      <c r="AD413" s="27"/>
      <c r="AE413" s="31">
        <f>325</f>
        <v>325</v>
      </c>
      <c r="AF413" s="31"/>
      <c r="AG413" s="31"/>
    </row>
    <row r="414" spans="1:33" s="1" customFormat="1" ht="18.75" customHeight="1">
      <c r="A414" s="24" t="s">
        <v>3178</v>
      </c>
      <c r="B414" s="25" t="s">
        <v>3179</v>
      </c>
      <c r="C414" s="25"/>
      <c r="D414" s="25"/>
      <c r="E414" s="26" t="s">
        <v>3180</v>
      </c>
      <c r="F414" s="26"/>
      <c r="G414" s="26"/>
      <c r="H414" s="26"/>
      <c r="I414" s="26"/>
      <c r="J414" s="27" t="s">
        <v>2093</v>
      </c>
      <c r="K414" s="27"/>
      <c r="L414" s="27"/>
      <c r="M414" s="27"/>
      <c r="N414" s="28">
        <f>160.5</f>
        <v>160.5</v>
      </c>
      <c r="O414" s="28"/>
      <c r="P414" s="28"/>
      <c r="Q414" s="27" t="s">
        <v>2032</v>
      </c>
      <c r="R414" s="27"/>
      <c r="S414" s="29" t="s">
        <v>2032</v>
      </c>
      <c r="T414" s="29"/>
      <c r="U414" s="29"/>
      <c r="V414" s="29"/>
      <c r="W414" s="30" t="s">
        <v>2032</v>
      </c>
      <c r="X414" s="29" t="s">
        <v>2032</v>
      </c>
      <c r="Y414" s="29"/>
      <c r="Z414" s="29"/>
      <c r="AA414" s="29"/>
      <c r="AB414" s="27" t="s">
        <v>2093</v>
      </c>
      <c r="AC414" s="27"/>
      <c r="AD414" s="27"/>
      <c r="AE414" s="31">
        <f>160.5</f>
        <v>160.5</v>
      </c>
      <c r="AF414" s="31"/>
      <c r="AG414" s="31"/>
    </row>
    <row r="415" spans="1:33" s="1" customFormat="1" ht="46.5" customHeight="1">
      <c r="A415" s="24" t="s">
        <v>3181</v>
      </c>
      <c r="B415" s="25" t="s">
        <v>3182</v>
      </c>
      <c r="C415" s="25"/>
      <c r="D415" s="25"/>
      <c r="E415" s="26" t="s">
        <v>3183</v>
      </c>
      <c r="F415" s="26"/>
      <c r="G415" s="26"/>
      <c r="H415" s="26"/>
      <c r="I415" s="26"/>
      <c r="J415" s="27" t="s">
        <v>2056</v>
      </c>
      <c r="K415" s="27"/>
      <c r="L415" s="27"/>
      <c r="M415" s="27"/>
      <c r="N415" s="28">
        <f>1701</f>
        <v>1701</v>
      </c>
      <c r="O415" s="28"/>
      <c r="P415" s="28"/>
      <c r="Q415" s="27" t="s">
        <v>2032</v>
      </c>
      <c r="R415" s="27"/>
      <c r="S415" s="29" t="s">
        <v>2032</v>
      </c>
      <c r="T415" s="29"/>
      <c r="U415" s="29"/>
      <c r="V415" s="29"/>
      <c r="W415" s="30" t="s">
        <v>2032</v>
      </c>
      <c r="X415" s="29" t="s">
        <v>2032</v>
      </c>
      <c r="Y415" s="29"/>
      <c r="Z415" s="29"/>
      <c r="AA415" s="29"/>
      <c r="AB415" s="27" t="s">
        <v>2056</v>
      </c>
      <c r="AC415" s="27"/>
      <c r="AD415" s="27"/>
      <c r="AE415" s="31">
        <f>1701</f>
        <v>1701</v>
      </c>
      <c r="AF415" s="31"/>
      <c r="AG415" s="31"/>
    </row>
    <row r="416" spans="1:33" s="1" customFormat="1" ht="33" customHeight="1">
      <c r="A416" s="24" t="s">
        <v>3184</v>
      </c>
      <c r="B416" s="25" t="s">
        <v>3185</v>
      </c>
      <c r="C416" s="25"/>
      <c r="D416" s="25"/>
      <c r="E416" s="26" t="s">
        <v>3186</v>
      </c>
      <c r="F416" s="26"/>
      <c r="G416" s="26"/>
      <c r="H416" s="26"/>
      <c r="I416" s="26"/>
      <c r="J416" s="27" t="s">
        <v>2058</v>
      </c>
      <c r="K416" s="27"/>
      <c r="L416" s="27"/>
      <c r="M416" s="27"/>
      <c r="N416" s="28">
        <f>7395</f>
        <v>7395</v>
      </c>
      <c r="O416" s="28"/>
      <c r="P416" s="28"/>
      <c r="Q416" s="27" t="s">
        <v>2032</v>
      </c>
      <c r="R416" s="27"/>
      <c r="S416" s="29" t="s">
        <v>2032</v>
      </c>
      <c r="T416" s="29"/>
      <c r="U416" s="29"/>
      <c r="V416" s="29"/>
      <c r="W416" s="30" t="s">
        <v>2032</v>
      </c>
      <c r="X416" s="29" t="s">
        <v>2032</v>
      </c>
      <c r="Y416" s="29"/>
      <c r="Z416" s="29"/>
      <c r="AA416" s="29"/>
      <c r="AB416" s="27" t="s">
        <v>2058</v>
      </c>
      <c r="AC416" s="27"/>
      <c r="AD416" s="27"/>
      <c r="AE416" s="31">
        <f>7395</f>
        <v>7395</v>
      </c>
      <c r="AF416" s="31"/>
      <c r="AG416" s="31"/>
    </row>
    <row r="417" spans="1:33" s="1" customFormat="1" ht="18.75" customHeight="1">
      <c r="A417" s="24" t="s">
        <v>3187</v>
      </c>
      <c r="B417" s="25" t="s">
        <v>3188</v>
      </c>
      <c r="C417" s="25"/>
      <c r="D417" s="25"/>
      <c r="E417" s="26" t="s">
        <v>3189</v>
      </c>
      <c r="F417" s="26"/>
      <c r="G417" s="26"/>
      <c r="H417" s="26"/>
      <c r="I417" s="26"/>
      <c r="J417" s="27" t="s">
        <v>2060</v>
      </c>
      <c r="K417" s="27"/>
      <c r="L417" s="27"/>
      <c r="M417" s="27"/>
      <c r="N417" s="28">
        <f>488.5</f>
        <v>488.5</v>
      </c>
      <c r="O417" s="28"/>
      <c r="P417" s="28"/>
      <c r="Q417" s="27" t="s">
        <v>2032</v>
      </c>
      <c r="R417" s="27"/>
      <c r="S417" s="29" t="s">
        <v>2032</v>
      </c>
      <c r="T417" s="29"/>
      <c r="U417" s="29"/>
      <c r="V417" s="29"/>
      <c r="W417" s="30" t="s">
        <v>2032</v>
      </c>
      <c r="X417" s="29" t="s">
        <v>2032</v>
      </c>
      <c r="Y417" s="29"/>
      <c r="Z417" s="29"/>
      <c r="AA417" s="29"/>
      <c r="AB417" s="27" t="s">
        <v>2060</v>
      </c>
      <c r="AC417" s="27"/>
      <c r="AD417" s="27"/>
      <c r="AE417" s="31">
        <f>488.5</f>
        <v>488.5</v>
      </c>
      <c r="AF417" s="31"/>
      <c r="AG417" s="31"/>
    </row>
    <row r="418" spans="1:33" s="1" customFormat="1" ht="18.75" customHeight="1">
      <c r="A418" s="24" t="s">
        <v>3190</v>
      </c>
      <c r="B418" s="25" t="s">
        <v>3191</v>
      </c>
      <c r="C418" s="25"/>
      <c r="D418" s="25"/>
      <c r="E418" s="26" t="s">
        <v>3192</v>
      </c>
      <c r="F418" s="26"/>
      <c r="G418" s="26"/>
      <c r="H418" s="26"/>
      <c r="I418" s="26"/>
      <c r="J418" s="27" t="s">
        <v>2057</v>
      </c>
      <c r="K418" s="27"/>
      <c r="L418" s="27"/>
      <c r="M418" s="27"/>
      <c r="N418" s="28">
        <f>146.12</f>
        <v>146.12</v>
      </c>
      <c r="O418" s="28"/>
      <c r="P418" s="28"/>
      <c r="Q418" s="27" t="s">
        <v>2032</v>
      </c>
      <c r="R418" s="27"/>
      <c r="S418" s="29" t="s">
        <v>2032</v>
      </c>
      <c r="T418" s="29"/>
      <c r="U418" s="29"/>
      <c r="V418" s="29"/>
      <c r="W418" s="30" t="s">
        <v>2032</v>
      </c>
      <c r="X418" s="29" t="s">
        <v>2032</v>
      </c>
      <c r="Y418" s="29"/>
      <c r="Z418" s="29"/>
      <c r="AA418" s="29"/>
      <c r="AB418" s="27" t="s">
        <v>2057</v>
      </c>
      <c r="AC418" s="27"/>
      <c r="AD418" s="27"/>
      <c r="AE418" s="31">
        <f>146.12</f>
        <v>146.12</v>
      </c>
      <c r="AF418" s="31"/>
      <c r="AG418" s="31"/>
    </row>
    <row r="419" spans="1:33" s="1" customFormat="1" ht="18.75" customHeight="1">
      <c r="A419" s="24" t="s">
        <v>3193</v>
      </c>
      <c r="B419" s="25" t="s">
        <v>3194</v>
      </c>
      <c r="C419" s="25"/>
      <c r="D419" s="25"/>
      <c r="E419" s="26" t="s">
        <v>3195</v>
      </c>
      <c r="F419" s="26"/>
      <c r="G419" s="26"/>
      <c r="H419" s="26"/>
      <c r="I419" s="26"/>
      <c r="J419" s="27" t="s">
        <v>2056</v>
      </c>
      <c r="K419" s="27"/>
      <c r="L419" s="27"/>
      <c r="M419" s="27"/>
      <c r="N419" s="28">
        <f>73.06</f>
        <v>73.06</v>
      </c>
      <c r="O419" s="28"/>
      <c r="P419" s="28"/>
      <c r="Q419" s="27" t="s">
        <v>2032</v>
      </c>
      <c r="R419" s="27"/>
      <c r="S419" s="29" t="s">
        <v>2032</v>
      </c>
      <c r="T419" s="29"/>
      <c r="U419" s="29"/>
      <c r="V419" s="29"/>
      <c r="W419" s="30" t="s">
        <v>2032</v>
      </c>
      <c r="X419" s="29" t="s">
        <v>2032</v>
      </c>
      <c r="Y419" s="29"/>
      <c r="Z419" s="29"/>
      <c r="AA419" s="29"/>
      <c r="AB419" s="27" t="s">
        <v>2056</v>
      </c>
      <c r="AC419" s="27"/>
      <c r="AD419" s="27"/>
      <c r="AE419" s="31">
        <f>73.06</f>
        <v>73.06</v>
      </c>
      <c r="AF419" s="31"/>
      <c r="AG419" s="31"/>
    </row>
    <row r="420" spans="1:33" s="1" customFormat="1" ht="18.75" customHeight="1">
      <c r="A420" s="24" t="s">
        <v>3196</v>
      </c>
      <c r="B420" s="25" t="s">
        <v>3197</v>
      </c>
      <c r="C420" s="25"/>
      <c r="D420" s="25"/>
      <c r="E420" s="26" t="s">
        <v>3198</v>
      </c>
      <c r="F420" s="26"/>
      <c r="G420" s="26"/>
      <c r="H420" s="26"/>
      <c r="I420" s="26"/>
      <c r="J420" s="27" t="s">
        <v>2056</v>
      </c>
      <c r="K420" s="27"/>
      <c r="L420" s="27"/>
      <c r="M420" s="27"/>
      <c r="N420" s="28">
        <f>584.51</f>
        <v>584.51</v>
      </c>
      <c r="O420" s="28"/>
      <c r="P420" s="28"/>
      <c r="Q420" s="27" t="s">
        <v>2032</v>
      </c>
      <c r="R420" s="27"/>
      <c r="S420" s="29" t="s">
        <v>2032</v>
      </c>
      <c r="T420" s="29"/>
      <c r="U420" s="29"/>
      <c r="V420" s="29"/>
      <c r="W420" s="30" t="s">
        <v>2032</v>
      </c>
      <c r="X420" s="29" t="s">
        <v>2032</v>
      </c>
      <c r="Y420" s="29"/>
      <c r="Z420" s="29"/>
      <c r="AA420" s="29"/>
      <c r="AB420" s="27" t="s">
        <v>2056</v>
      </c>
      <c r="AC420" s="27"/>
      <c r="AD420" s="27"/>
      <c r="AE420" s="31">
        <f>584.51</f>
        <v>584.51</v>
      </c>
      <c r="AF420" s="31"/>
      <c r="AG420" s="31"/>
    </row>
    <row r="421" spans="1:33" s="1" customFormat="1" ht="18.75" customHeight="1">
      <c r="A421" s="24" t="s">
        <v>3199</v>
      </c>
      <c r="B421" s="25" t="s">
        <v>3200</v>
      </c>
      <c r="C421" s="25"/>
      <c r="D421" s="25"/>
      <c r="E421" s="26" t="s">
        <v>3201</v>
      </c>
      <c r="F421" s="26"/>
      <c r="G421" s="26"/>
      <c r="H421" s="26"/>
      <c r="I421" s="26"/>
      <c r="J421" s="27" t="s">
        <v>2057</v>
      </c>
      <c r="K421" s="27"/>
      <c r="L421" s="27"/>
      <c r="M421" s="27"/>
      <c r="N421" s="28">
        <f>292.26</f>
        <v>292.26</v>
      </c>
      <c r="O421" s="28"/>
      <c r="P421" s="28"/>
      <c r="Q421" s="27" t="s">
        <v>2032</v>
      </c>
      <c r="R421" s="27"/>
      <c r="S421" s="29" t="s">
        <v>2032</v>
      </c>
      <c r="T421" s="29"/>
      <c r="U421" s="29"/>
      <c r="V421" s="29"/>
      <c r="W421" s="30" t="s">
        <v>2032</v>
      </c>
      <c r="X421" s="29" t="s">
        <v>2032</v>
      </c>
      <c r="Y421" s="29"/>
      <c r="Z421" s="29"/>
      <c r="AA421" s="29"/>
      <c r="AB421" s="27" t="s">
        <v>2057</v>
      </c>
      <c r="AC421" s="27"/>
      <c r="AD421" s="27"/>
      <c r="AE421" s="31">
        <f>292.26</f>
        <v>292.26</v>
      </c>
      <c r="AF421" s="31"/>
      <c r="AG421" s="31"/>
    </row>
    <row r="422" spans="1:33" s="1" customFormat="1" ht="33" customHeight="1">
      <c r="A422" s="24" t="s">
        <v>3202</v>
      </c>
      <c r="B422" s="25" t="s">
        <v>3203</v>
      </c>
      <c r="C422" s="25"/>
      <c r="D422" s="25"/>
      <c r="E422" s="26" t="s">
        <v>3204</v>
      </c>
      <c r="F422" s="26"/>
      <c r="G422" s="26"/>
      <c r="H422" s="26"/>
      <c r="I422" s="26"/>
      <c r="J422" s="27" t="s">
        <v>2056</v>
      </c>
      <c r="K422" s="27"/>
      <c r="L422" s="27"/>
      <c r="M422" s="27"/>
      <c r="N422" s="28">
        <f>2671.55</f>
        <v>2671.55</v>
      </c>
      <c r="O422" s="28"/>
      <c r="P422" s="28"/>
      <c r="Q422" s="27" t="s">
        <v>2032</v>
      </c>
      <c r="R422" s="27"/>
      <c r="S422" s="29" t="s">
        <v>2032</v>
      </c>
      <c r="T422" s="29"/>
      <c r="U422" s="29"/>
      <c r="V422" s="29"/>
      <c r="W422" s="30" t="s">
        <v>2032</v>
      </c>
      <c r="X422" s="29" t="s">
        <v>2032</v>
      </c>
      <c r="Y422" s="29"/>
      <c r="Z422" s="29"/>
      <c r="AA422" s="29"/>
      <c r="AB422" s="27" t="s">
        <v>2056</v>
      </c>
      <c r="AC422" s="27"/>
      <c r="AD422" s="27"/>
      <c r="AE422" s="31">
        <f>2671.55</f>
        <v>2671.55</v>
      </c>
      <c r="AF422" s="31"/>
      <c r="AG422" s="31"/>
    </row>
    <row r="423" spans="1:33" s="1" customFormat="1" ht="18.75" customHeight="1">
      <c r="A423" s="24" t="s">
        <v>3205</v>
      </c>
      <c r="B423" s="25" t="s">
        <v>3206</v>
      </c>
      <c r="C423" s="25"/>
      <c r="D423" s="25"/>
      <c r="E423" s="26" t="s">
        <v>3207</v>
      </c>
      <c r="F423" s="26"/>
      <c r="G423" s="26"/>
      <c r="H423" s="26"/>
      <c r="I423" s="26"/>
      <c r="J423" s="27" t="s">
        <v>2056</v>
      </c>
      <c r="K423" s="27"/>
      <c r="L423" s="27"/>
      <c r="M423" s="27"/>
      <c r="N423" s="28">
        <f>292.25</f>
        <v>292.25</v>
      </c>
      <c r="O423" s="28"/>
      <c r="P423" s="28"/>
      <c r="Q423" s="27" t="s">
        <v>2032</v>
      </c>
      <c r="R423" s="27"/>
      <c r="S423" s="29" t="s">
        <v>2032</v>
      </c>
      <c r="T423" s="29"/>
      <c r="U423" s="29"/>
      <c r="V423" s="29"/>
      <c r="W423" s="30" t="s">
        <v>2032</v>
      </c>
      <c r="X423" s="29" t="s">
        <v>2032</v>
      </c>
      <c r="Y423" s="29"/>
      <c r="Z423" s="29"/>
      <c r="AA423" s="29"/>
      <c r="AB423" s="27" t="s">
        <v>2056</v>
      </c>
      <c r="AC423" s="27"/>
      <c r="AD423" s="27"/>
      <c r="AE423" s="31">
        <f>292.25</f>
        <v>292.25</v>
      </c>
      <c r="AF423" s="31"/>
      <c r="AG423" s="31"/>
    </row>
    <row r="424" spans="1:33" s="1" customFormat="1" ht="33" customHeight="1">
      <c r="A424" s="24" t="s">
        <v>3208</v>
      </c>
      <c r="B424" s="25" t="s">
        <v>3209</v>
      </c>
      <c r="C424" s="25"/>
      <c r="D424" s="25"/>
      <c r="E424" s="26" t="s">
        <v>3210</v>
      </c>
      <c r="F424" s="26"/>
      <c r="G424" s="26"/>
      <c r="H424" s="26"/>
      <c r="I424" s="26"/>
      <c r="J424" s="27" t="s">
        <v>2056</v>
      </c>
      <c r="K424" s="27"/>
      <c r="L424" s="27"/>
      <c r="M424" s="27"/>
      <c r="N424" s="28">
        <f>73.06</f>
        <v>73.06</v>
      </c>
      <c r="O424" s="28"/>
      <c r="P424" s="28"/>
      <c r="Q424" s="27" t="s">
        <v>2032</v>
      </c>
      <c r="R424" s="27"/>
      <c r="S424" s="29" t="s">
        <v>2032</v>
      </c>
      <c r="T424" s="29"/>
      <c r="U424" s="29"/>
      <c r="V424" s="29"/>
      <c r="W424" s="30" t="s">
        <v>2032</v>
      </c>
      <c r="X424" s="29" t="s">
        <v>2032</v>
      </c>
      <c r="Y424" s="29"/>
      <c r="Z424" s="29"/>
      <c r="AA424" s="29"/>
      <c r="AB424" s="27" t="s">
        <v>2056</v>
      </c>
      <c r="AC424" s="27"/>
      <c r="AD424" s="27"/>
      <c r="AE424" s="31">
        <f>73.06</f>
        <v>73.06</v>
      </c>
      <c r="AF424" s="31"/>
      <c r="AG424" s="31"/>
    </row>
    <row r="425" spans="1:33" s="1" customFormat="1" ht="18.75" customHeight="1">
      <c r="A425" s="24" t="s">
        <v>3211</v>
      </c>
      <c r="B425" s="25" t="s">
        <v>3212</v>
      </c>
      <c r="C425" s="25"/>
      <c r="D425" s="25"/>
      <c r="E425" s="26" t="s">
        <v>3213</v>
      </c>
      <c r="F425" s="26"/>
      <c r="G425" s="26"/>
      <c r="H425" s="26"/>
      <c r="I425" s="26"/>
      <c r="J425" s="27" t="s">
        <v>2057</v>
      </c>
      <c r="K425" s="27"/>
      <c r="L425" s="27"/>
      <c r="M425" s="27"/>
      <c r="N425" s="28">
        <f>900</f>
        <v>900</v>
      </c>
      <c r="O425" s="28"/>
      <c r="P425" s="28"/>
      <c r="Q425" s="27" t="s">
        <v>2032</v>
      </c>
      <c r="R425" s="27"/>
      <c r="S425" s="29" t="s">
        <v>2032</v>
      </c>
      <c r="T425" s="29"/>
      <c r="U425" s="29"/>
      <c r="V425" s="29"/>
      <c r="W425" s="30" t="s">
        <v>2032</v>
      </c>
      <c r="X425" s="29" t="s">
        <v>2032</v>
      </c>
      <c r="Y425" s="29"/>
      <c r="Z425" s="29"/>
      <c r="AA425" s="29"/>
      <c r="AB425" s="27" t="s">
        <v>2057</v>
      </c>
      <c r="AC425" s="27"/>
      <c r="AD425" s="27"/>
      <c r="AE425" s="31">
        <f>900</f>
        <v>900</v>
      </c>
      <c r="AF425" s="31"/>
      <c r="AG425" s="31"/>
    </row>
    <row r="426" spans="1:33" s="1" customFormat="1" ht="18.75" customHeight="1">
      <c r="A426" s="24" t="s">
        <v>3214</v>
      </c>
      <c r="B426" s="25" t="s">
        <v>3215</v>
      </c>
      <c r="C426" s="25"/>
      <c r="D426" s="25"/>
      <c r="E426" s="26" t="s">
        <v>3216</v>
      </c>
      <c r="F426" s="26"/>
      <c r="G426" s="26"/>
      <c r="H426" s="26"/>
      <c r="I426" s="26"/>
      <c r="J426" s="27" t="s">
        <v>2057</v>
      </c>
      <c r="K426" s="27"/>
      <c r="L426" s="27"/>
      <c r="M426" s="27"/>
      <c r="N426" s="28">
        <f>800</f>
        <v>800</v>
      </c>
      <c r="O426" s="28"/>
      <c r="P426" s="28"/>
      <c r="Q426" s="27" t="s">
        <v>2032</v>
      </c>
      <c r="R426" s="27"/>
      <c r="S426" s="29" t="s">
        <v>2032</v>
      </c>
      <c r="T426" s="29"/>
      <c r="U426" s="29"/>
      <c r="V426" s="29"/>
      <c r="W426" s="30" t="s">
        <v>2032</v>
      </c>
      <c r="X426" s="29" t="s">
        <v>2032</v>
      </c>
      <c r="Y426" s="29"/>
      <c r="Z426" s="29"/>
      <c r="AA426" s="29"/>
      <c r="AB426" s="27" t="s">
        <v>2057</v>
      </c>
      <c r="AC426" s="27"/>
      <c r="AD426" s="27"/>
      <c r="AE426" s="31">
        <f>800</f>
        <v>800</v>
      </c>
      <c r="AF426" s="31"/>
      <c r="AG426" s="31"/>
    </row>
    <row r="427" spans="1:33" s="1" customFormat="1" ht="18.75" customHeight="1">
      <c r="A427" s="24" t="s">
        <v>3217</v>
      </c>
      <c r="B427" s="25" t="s">
        <v>3151</v>
      </c>
      <c r="C427" s="25"/>
      <c r="D427" s="25"/>
      <c r="E427" s="26" t="s">
        <v>3218</v>
      </c>
      <c r="F427" s="26"/>
      <c r="G427" s="26"/>
      <c r="H427" s="26"/>
      <c r="I427" s="26"/>
      <c r="J427" s="27" t="s">
        <v>2057</v>
      </c>
      <c r="K427" s="27"/>
      <c r="L427" s="27"/>
      <c r="M427" s="27"/>
      <c r="N427" s="28">
        <f>73.06</f>
        <v>73.06</v>
      </c>
      <c r="O427" s="28"/>
      <c r="P427" s="28"/>
      <c r="Q427" s="27" t="s">
        <v>2032</v>
      </c>
      <c r="R427" s="27"/>
      <c r="S427" s="29" t="s">
        <v>2032</v>
      </c>
      <c r="T427" s="29"/>
      <c r="U427" s="29"/>
      <c r="V427" s="29"/>
      <c r="W427" s="30" t="s">
        <v>2032</v>
      </c>
      <c r="X427" s="29" t="s">
        <v>2032</v>
      </c>
      <c r="Y427" s="29"/>
      <c r="Z427" s="29"/>
      <c r="AA427" s="29"/>
      <c r="AB427" s="27" t="s">
        <v>2057</v>
      </c>
      <c r="AC427" s="27"/>
      <c r="AD427" s="27"/>
      <c r="AE427" s="31">
        <f>73.06</f>
        <v>73.06</v>
      </c>
      <c r="AF427" s="31"/>
      <c r="AG427" s="31"/>
    </row>
    <row r="428" spans="1:33" s="1" customFormat="1" ht="18.75" customHeight="1">
      <c r="A428" s="24" t="s">
        <v>3219</v>
      </c>
      <c r="B428" s="25" t="s">
        <v>3220</v>
      </c>
      <c r="C428" s="25"/>
      <c r="D428" s="25"/>
      <c r="E428" s="26" t="s">
        <v>3221</v>
      </c>
      <c r="F428" s="26"/>
      <c r="G428" s="26"/>
      <c r="H428" s="26"/>
      <c r="I428" s="26"/>
      <c r="J428" s="27" t="s">
        <v>2057</v>
      </c>
      <c r="K428" s="27"/>
      <c r="L428" s="27"/>
      <c r="M428" s="27"/>
      <c r="N428" s="28">
        <f>146.12</f>
        <v>146.12</v>
      </c>
      <c r="O428" s="28"/>
      <c r="P428" s="28"/>
      <c r="Q428" s="27" t="s">
        <v>2032</v>
      </c>
      <c r="R428" s="27"/>
      <c r="S428" s="29" t="s">
        <v>2032</v>
      </c>
      <c r="T428" s="29"/>
      <c r="U428" s="29"/>
      <c r="V428" s="29"/>
      <c r="W428" s="30" t="s">
        <v>2032</v>
      </c>
      <c r="X428" s="29" t="s">
        <v>2032</v>
      </c>
      <c r="Y428" s="29"/>
      <c r="Z428" s="29"/>
      <c r="AA428" s="29"/>
      <c r="AB428" s="27" t="s">
        <v>2057</v>
      </c>
      <c r="AC428" s="27"/>
      <c r="AD428" s="27"/>
      <c r="AE428" s="31">
        <f>146.12</f>
        <v>146.12</v>
      </c>
      <c r="AF428" s="31"/>
      <c r="AG428" s="31"/>
    </row>
    <row r="429" spans="1:33" s="1" customFormat="1" ht="18.75" customHeight="1">
      <c r="A429" s="24" t="s">
        <v>3222</v>
      </c>
      <c r="B429" s="25" t="s">
        <v>3223</v>
      </c>
      <c r="C429" s="25"/>
      <c r="D429" s="25"/>
      <c r="E429" s="26" t="s">
        <v>3224</v>
      </c>
      <c r="F429" s="26"/>
      <c r="G429" s="26"/>
      <c r="H429" s="26"/>
      <c r="I429" s="26"/>
      <c r="J429" s="27" t="s">
        <v>2056</v>
      </c>
      <c r="K429" s="27"/>
      <c r="L429" s="27"/>
      <c r="M429" s="27"/>
      <c r="N429" s="28">
        <f>73.06</f>
        <v>73.06</v>
      </c>
      <c r="O429" s="28"/>
      <c r="P429" s="28"/>
      <c r="Q429" s="27" t="s">
        <v>2032</v>
      </c>
      <c r="R429" s="27"/>
      <c r="S429" s="29" t="s">
        <v>2032</v>
      </c>
      <c r="T429" s="29"/>
      <c r="U429" s="29"/>
      <c r="V429" s="29"/>
      <c r="W429" s="30" t="s">
        <v>2032</v>
      </c>
      <c r="X429" s="29" t="s">
        <v>2032</v>
      </c>
      <c r="Y429" s="29"/>
      <c r="Z429" s="29"/>
      <c r="AA429" s="29"/>
      <c r="AB429" s="27" t="s">
        <v>2056</v>
      </c>
      <c r="AC429" s="27"/>
      <c r="AD429" s="27"/>
      <c r="AE429" s="31">
        <f>73.06</f>
        <v>73.06</v>
      </c>
      <c r="AF429" s="31"/>
      <c r="AG429" s="31"/>
    </row>
    <row r="430" spans="1:33" s="1" customFormat="1" ht="18.75" customHeight="1">
      <c r="A430" s="24" t="s">
        <v>3225</v>
      </c>
      <c r="B430" s="25" t="s">
        <v>3226</v>
      </c>
      <c r="C430" s="25"/>
      <c r="D430" s="25"/>
      <c r="E430" s="26" t="s">
        <v>3227</v>
      </c>
      <c r="F430" s="26"/>
      <c r="G430" s="26"/>
      <c r="H430" s="26"/>
      <c r="I430" s="26"/>
      <c r="J430" s="27" t="s">
        <v>2056</v>
      </c>
      <c r="K430" s="27"/>
      <c r="L430" s="27"/>
      <c r="M430" s="27"/>
      <c r="N430" s="28">
        <f>700</f>
        <v>700</v>
      </c>
      <c r="O430" s="28"/>
      <c r="P430" s="28"/>
      <c r="Q430" s="27" t="s">
        <v>2032</v>
      </c>
      <c r="R430" s="27"/>
      <c r="S430" s="29" t="s">
        <v>2032</v>
      </c>
      <c r="T430" s="29"/>
      <c r="U430" s="29"/>
      <c r="V430" s="29"/>
      <c r="W430" s="30" t="s">
        <v>2032</v>
      </c>
      <c r="X430" s="29" t="s">
        <v>2032</v>
      </c>
      <c r="Y430" s="29"/>
      <c r="Z430" s="29"/>
      <c r="AA430" s="29"/>
      <c r="AB430" s="27" t="s">
        <v>2056</v>
      </c>
      <c r="AC430" s="27"/>
      <c r="AD430" s="27"/>
      <c r="AE430" s="31">
        <f>700</f>
        <v>700</v>
      </c>
      <c r="AF430" s="31"/>
      <c r="AG430" s="31"/>
    </row>
    <row r="431" spans="1:33" s="1" customFormat="1" ht="18.75" customHeight="1">
      <c r="A431" s="24" t="s">
        <v>3228</v>
      </c>
      <c r="B431" s="25" t="s">
        <v>3229</v>
      </c>
      <c r="C431" s="25"/>
      <c r="D431" s="25"/>
      <c r="E431" s="26" t="s">
        <v>3230</v>
      </c>
      <c r="F431" s="26"/>
      <c r="G431" s="26"/>
      <c r="H431" s="26"/>
      <c r="I431" s="26"/>
      <c r="J431" s="27" t="s">
        <v>2056</v>
      </c>
      <c r="K431" s="27"/>
      <c r="L431" s="27"/>
      <c r="M431" s="27"/>
      <c r="N431" s="28">
        <f>1819</f>
        <v>1819</v>
      </c>
      <c r="O431" s="28"/>
      <c r="P431" s="28"/>
      <c r="Q431" s="27" t="s">
        <v>2032</v>
      </c>
      <c r="R431" s="27"/>
      <c r="S431" s="29" t="s">
        <v>2032</v>
      </c>
      <c r="T431" s="29"/>
      <c r="U431" s="29"/>
      <c r="V431" s="29"/>
      <c r="W431" s="30" t="s">
        <v>2032</v>
      </c>
      <c r="X431" s="29" t="s">
        <v>2032</v>
      </c>
      <c r="Y431" s="29"/>
      <c r="Z431" s="29"/>
      <c r="AA431" s="29"/>
      <c r="AB431" s="27" t="s">
        <v>2056</v>
      </c>
      <c r="AC431" s="27"/>
      <c r="AD431" s="27"/>
      <c r="AE431" s="31">
        <f>1819</f>
        <v>1819</v>
      </c>
      <c r="AF431" s="31"/>
      <c r="AG431" s="31"/>
    </row>
    <row r="432" spans="1:33" s="1" customFormat="1" ht="18.75" customHeight="1">
      <c r="A432" s="24" t="s">
        <v>3231</v>
      </c>
      <c r="B432" s="25" t="s">
        <v>3232</v>
      </c>
      <c r="C432" s="25"/>
      <c r="D432" s="25"/>
      <c r="E432" s="26" t="s">
        <v>3233</v>
      </c>
      <c r="F432" s="26"/>
      <c r="G432" s="26"/>
      <c r="H432" s="26"/>
      <c r="I432" s="26"/>
      <c r="J432" s="27" t="s">
        <v>2056</v>
      </c>
      <c r="K432" s="27"/>
      <c r="L432" s="27"/>
      <c r="M432" s="27"/>
      <c r="N432" s="28">
        <f>1819</f>
        <v>1819</v>
      </c>
      <c r="O432" s="28"/>
      <c r="P432" s="28"/>
      <c r="Q432" s="27" t="s">
        <v>2032</v>
      </c>
      <c r="R432" s="27"/>
      <c r="S432" s="29" t="s">
        <v>2032</v>
      </c>
      <c r="T432" s="29"/>
      <c r="U432" s="29"/>
      <c r="V432" s="29"/>
      <c r="W432" s="30" t="s">
        <v>2032</v>
      </c>
      <c r="X432" s="29" t="s">
        <v>2032</v>
      </c>
      <c r="Y432" s="29"/>
      <c r="Z432" s="29"/>
      <c r="AA432" s="29"/>
      <c r="AB432" s="27" t="s">
        <v>2056</v>
      </c>
      <c r="AC432" s="27"/>
      <c r="AD432" s="27"/>
      <c r="AE432" s="31">
        <f>1819</f>
        <v>1819</v>
      </c>
      <c r="AF432" s="31"/>
      <c r="AG432" s="31"/>
    </row>
    <row r="433" spans="1:33" s="1" customFormat="1" ht="33" customHeight="1">
      <c r="A433" s="24" t="s">
        <v>3234</v>
      </c>
      <c r="B433" s="25" t="s">
        <v>3235</v>
      </c>
      <c r="C433" s="25"/>
      <c r="D433" s="25"/>
      <c r="E433" s="26" t="s">
        <v>3236</v>
      </c>
      <c r="F433" s="26"/>
      <c r="G433" s="26"/>
      <c r="H433" s="26"/>
      <c r="I433" s="26"/>
      <c r="J433" s="27" t="s">
        <v>2108</v>
      </c>
      <c r="K433" s="27"/>
      <c r="L433" s="27"/>
      <c r="M433" s="27"/>
      <c r="N433" s="28">
        <f>4860</f>
        <v>4860</v>
      </c>
      <c r="O433" s="28"/>
      <c r="P433" s="28"/>
      <c r="Q433" s="27" t="s">
        <v>2032</v>
      </c>
      <c r="R433" s="27"/>
      <c r="S433" s="29" t="s">
        <v>2032</v>
      </c>
      <c r="T433" s="29"/>
      <c r="U433" s="29"/>
      <c r="V433" s="29"/>
      <c r="W433" s="30" t="s">
        <v>2032</v>
      </c>
      <c r="X433" s="29" t="s">
        <v>2032</v>
      </c>
      <c r="Y433" s="29"/>
      <c r="Z433" s="29"/>
      <c r="AA433" s="29"/>
      <c r="AB433" s="27" t="s">
        <v>2108</v>
      </c>
      <c r="AC433" s="27"/>
      <c r="AD433" s="27"/>
      <c r="AE433" s="31">
        <f>4860</f>
        <v>4860</v>
      </c>
      <c r="AF433" s="31"/>
      <c r="AG433" s="31"/>
    </row>
    <row r="434" spans="1:33" s="1" customFormat="1" ht="18.75" customHeight="1">
      <c r="A434" s="24" t="s">
        <v>3237</v>
      </c>
      <c r="B434" s="25" t="s">
        <v>3238</v>
      </c>
      <c r="C434" s="25"/>
      <c r="D434" s="25"/>
      <c r="E434" s="26" t="s">
        <v>3239</v>
      </c>
      <c r="F434" s="26"/>
      <c r="G434" s="26"/>
      <c r="H434" s="26"/>
      <c r="I434" s="26"/>
      <c r="J434" s="27" t="s">
        <v>2111</v>
      </c>
      <c r="K434" s="27"/>
      <c r="L434" s="27"/>
      <c r="M434" s="27"/>
      <c r="N434" s="28">
        <f>2963.31</f>
        <v>2963.31</v>
      </c>
      <c r="O434" s="28"/>
      <c r="P434" s="28"/>
      <c r="Q434" s="27" t="s">
        <v>2032</v>
      </c>
      <c r="R434" s="27"/>
      <c r="S434" s="29" t="s">
        <v>2032</v>
      </c>
      <c r="T434" s="29"/>
      <c r="U434" s="29"/>
      <c r="V434" s="29"/>
      <c r="W434" s="30" t="s">
        <v>2032</v>
      </c>
      <c r="X434" s="29" t="s">
        <v>2032</v>
      </c>
      <c r="Y434" s="29"/>
      <c r="Z434" s="29"/>
      <c r="AA434" s="29"/>
      <c r="AB434" s="27" t="s">
        <v>2111</v>
      </c>
      <c r="AC434" s="27"/>
      <c r="AD434" s="27"/>
      <c r="AE434" s="31">
        <f>2963.31</f>
        <v>2963.31</v>
      </c>
      <c r="AF434" s="31"/>
      <c r="AG434" s="31"/>
    </row>
    <row r="435" spans="1:33" s="1" customFormat="1" ht="18.75" customHeight="1">
      <c r="A435" s="24" t="s">
        <v>3240</v>
      </c>
      <c r="B435" s="25" t="s">
        <v>3241</v>
      </c>
      <c r="C435" s="25"/>
      <c r="D435" s="25"/>
      <c r="E435" s="26" t="s">
        <v>3242</v>
      </c>
      <c r="F435" s="26"/>
      <c r="G435" s="26"/>
      <c r="H435" s="26"/>
      <c r="I435" s="26"/>
      <c r="J435" s="27" t="s">
        <v>2060</v>
      </c>
      <c r="K435" s="27"/>
      <c r="L435" s="27"/>
      <c r="M435" s="27"/>
      <c r="N435" s="28">
        <f>851.5</f>
        <v>851.5</v>
      </c>
      <c r="O435" s="28"/>
      <c r="P435" s="28"/>
      <c r="Q435" s="27" t="s">
        <v>2032</v>
      </c>
      <c r="R435" s="27"/>
      <c r="S435" s="29" t="s">
        <v>2032</v>
      </c>
      <c r="T435" s="29"/>
      <c r="U435" s="29"/>
      <c r="V435" s="29"/>
      <c r="W435" s="30" t="s">
        <v>2032</v>
      </c>
      <c r="X435" s="29" t="s">
        <v>2032</v>
      </c>
      <c r="Y435" s="29"/>
      <c r="Z435" s="29"/>
      <c r="AA435" s="29"/>
      <c r="AB435" s="27" t="s">
        <v>2060</v>
      </c>
      <c r="AC435" s="27"/>
      <c r="AD435" s="27"/>
      <c r="AE435" s="31">
        <f>851.5</f>
        <v>851.5</v>
      </c>
      <c r="AF435" s="31"/>
      <c r="AG435" s="31"/>
    </row>
    <row r="436" spans="1:33" s="1" customFormat="1" ht="18.75" customHeight="1">
      <c r="A436" s="24" t="s">
        <v>3243</v>
      </c>
      <c r="B436" s="25" t="s">
        <v>3244</v>
      </c>
      <c r="C436" s="25"/>
      <c r="D436" s="25"/>
      <c r="E436" s="26" t="s">
        <v>3245</v>
      </c>
      <c r="F436" s="26"/>
      <c r="G436" s="26"/>
      <c r="H436" s="26"/>
      <c r="I436" s="26"/>
      <c r="J436" s="27" t="s">
        <v>2058</v>
      </c>
      <c r="K436" s="27"/>
      <c r="L436" s="27"/>
      <c r="M436" s="27"/>
      <c r="N436" s="28">
        <f>561.99</f>
        <v>561.99</v>
      </c>
      <c r="O436" s="28"/>
      <c r="P436" s="28"/>
      <c r="Q436" s="27" t="s">
        <v>2032</v>
      </c>
      <c r="R436" s="27"/>
      <c r="S436" s="29" t="s">
        <v>2032</v>
      </c>
      <c r="T436" s="29"/>
      <c r="U436" s="29"/>
      <c r="V436" s="29"/>
      <c r="W436" s="30" t="s">
        <v>2032</v>
      </c>
      <c r="X436" s="29" t="s">
        <v>2032</v>
      </c>
      <c r="Y436" s="29"/>
      <c r="Z436" s="29"/>
      <c r="AA436" s="29"/>
      <c r="AB436" s="27" t="s">
        <v>2058</v>
      </c>
      <c r="AC436" s="27"/>
      <c r="AD436" s="27"/>
      <c r="AE436" s="31">
        <f>561.99</f>
        <v>561.99</v>
      </c>
      <c r="AF436" s="31"/>
      <c r="AG436" s="31"/>
    </row>
    <row r="437" spans="1:33" s="1" customFormat="1" ht="18.75" customHeight="1">
      <c r="A437" s="24" t="s">
        <v>3246</v>
      </c>
      <c r="B437" s="25" t="s">
        <v>3247</v>
      </c>
      <c r="C437" s="25"/>
      <c r="D437" s="25"/>
      <c r="E437" s="26" t="s">
        <v>3248</v>
      </c>
      <c r="F437" s="26"/>
      <c r="G437" s="26"/>
      <c r="H437" s="26"/>
      <c r="I437" s="26"/>
      <c r="J437" s="27" t="s">
        <v>2056</v>
      </c>
      <c r="K437" s="27"/>
      <c r="L437" s="27"/>
      <c r="M437" s="27"/>
      <c r="N437" s="28">
        <f>571.2</f>
        <v>571.2</v>
      </c>
      <c r="O437" s="28"/>
      <c r="P437" s="28"/>
      <c r="Q437" s="27" t="s">
        <v>2032</v>
      </c>
      <c r="R437" s="27"/>
      <c r="S437" s="29" t="s">
        <v>2032</v>
      </c>
      <c r="T437" s="29"/>
      <c r="U437" s="29"/>
      <c r="V437" s="29"/>
      <c r="W437" s="30" t="s">
        <v>2032</v>
      </c>
      <c r="X437" s="29" t="s">
        <v>2032</v>
      </c>
      <c r="Y437" s="29"/>
      <c r="Z437" s="29"/>
      <c r="AA437" s="29"/>
      <c r="AB437" s="27" t="s">
        <v>2056</v>
      </c>
      <c r="AC437" s="27"/>
      <c r="AD437" s="27"/>
      <c r="AE437" s="31">
        <f>571.2</f>
        <v>571.2</v>
      </c>
      <c r="AF437" s="31"/>
      <c r="AG437" s="31"/>
    </row>
    <row r="438" spans="1:33" s="1" customFormat="1" ht="18.75" customHeight="1">
      <c r="A438" s="24" t="s">
        <v>3249</v>
      </c>
      <c r="B438" s="25" t="s">
        <v>2504</v>
      </c>
      <c r="C438" s="25"/>
      <c r="D438" s="25"/>
      <c r="E438" s="26" t="s">
        <v>3250</v>
      </c>
      <c r="F438" s="26"/>
      <c r="G438" s="26"/>
      <c r="H438" s="26"/>
      <c r="I438" s="26"/>
      <c r="J438" s="27" t="s">
        <v>2087</v>
      </c>
      <c r="K438" s="27"/>
      <c r="L438" s="27"/>
      <c r="M438" s="27"/>
      <c r="N438" s="28">
        <f>2805</f>
        <v>2805</v>
      </c>
      <c r="O438" s="28"/>
      <c r="P438" s="28"/>
      <c r="Q438" s="27" t="s">
        <v>2032</v>
      </c>
      <c r="R438" s="27"/>
      <c r="S438" s="29" t="s">
        <v>2032</v>
      </c>
      <c r="T438" s="29"/>
      <c r="U438" s="29"/>
      <c r="V438" s="29"/>
      <c r="W438" s="30" t="s">
        <v>2032</v>
      </c>
      <c r="X438" s="29" t="s">
        <v>2032</v>
      </c>
      <c r="Y438" s="29"/>
      <c r="Z438" s="29"/>
      <c r="AA438" s="29"/>
      <c r="AB438" s="27" t="s">
        <v>2087</v>
      </c>
      <c r="AC438" s="27"/>
      <c r="AD438" s="27"/>
      <c r="AE438" s="31">
        <f>2805</f>
        <v>2805</v>
      </c>
      <c r="AF438" s="31"/>
      <c r="AG438" s="31"/>
    </row>
    <row r="439" spans="1:33" s="1" customFormat="1" ht="18.75" customHeight="1">
      <c r="A439" s="24" t="s">
        <v>3251</v>
      </c>
      <c r="B439" s="25" t="s">
        <v>3039</v>
      </c>
      <c r="C439" s="25"/>
      <c r="D439" s="25"/>
      <c r="E439" s="26" t="s">
        <v>3252</v>
      </c>
      <c r="F439" s="26"/>
      <c r="G439" s="26"/>
      <c r="H439" s="26"/>
      <c r="I439" s="26"/>
      <c r="J439" s="27" t="s">
        <v>2120</v>
      </c>
      <c r="K439" s="27"/>
      <c r="L439" s="27"/>
      <c r="M439" s="27"/>
      <c r="N439" s="28">
        <f>4971.1</f>
        <v>4971.1</v>
      </c>
      <c r="O439" s="28"/>
      <c r="P439" s="28"/>
      <c r="Q439" s="27" t="s">
        <v>2032</v>
      </c>
      <c r="R439" s="27"/>
      <c r="S439" s="29" t="s">
        <v>2032</v>
      </c>
      <c r="T439" s="29"/>
      <c r="U439" s="29"/>
      <c r="V439" s="29"/>
      <c r="W439" s="30" t="s">
        <v>2032</v>
      </c>
      <c r="X439" s="29" t="s">
        <v>2032</v>
      </c>
      <c r="Y439" s="29"/>
      <c r="Z439" s="29"/>
      <c r="AA439" s="29"/>
      <c r="AB439" s="27" t="s">
        <v>2120</v>
      </c>
      <c r="AC439" s="27"/>
      <c r="AD439" s="27"/>
      <c r="AE439" s="31">
        <f>4971.1</f>
        <v>4971.1</v>
      </c>
      <c r="AF439" s="31"/>
      <c r="AG439" s="31"/>
    </row>
    <row r="440" spans="1:33" s="1" customFormat="1" ht="18.75" customHeight="1">
      <c r="A440" s="24" t="s">
        <v>3253</v>
      </c>
      <c r="B440" s="25" t="s">
        <v>3254</v>
      </c>
      <c r="C440" s="25"/>
      <c r="D440" s="25"/>
      <c r="E440" s="26" t="s">
        <v>3255</v>
      </c>
      <c r="F440" s="26"/>
      <c r="G440" s="26"/>
      <c r="H440" s="26"/>
      <c r="I440" s="26"/>
      <c r="J440" s="27" t="s">
        <v>2056</v>
      </c>
      <c r="K440" s="27"/>
      <c r="L440" s="27"/>
      <c r="M440" s="27"/>
      <c r="N440" s="28">
        <f>43.23</f>
        <v>43.23</v>
      </c>
      <c r="O440" s="28"/>
      <c r="P440" s="28"/>
      <c r="Q440" s="27" t="s">
        <v>2032</v>
      </c>
      <c r="R440" s="27"/>
      <c r="S440" s="29" t="s">
        <v>2032</v>
      </c>
      <c r="T440" s="29"/>
      <c r="U440" s="29"/>
      <c r="V440" s="29"/>
      <c r="W440" s="30" t="s">
        <v>2032</v>
      </c>
      <c r="X440" s="29" t="s">
        <v>2032</v>
      </c>
      <c r="Y440" s="29"/>
      <c r="Z440" s="29"/>
      <c r="AA440" s="29"/>
      <c r="AB440" s="27" t="s">
        <v>2056</v>
      </c>
      <c r="AC440" s="27"/>
      <c r="AD440" s="27"/>
      <c r="AE440" s="31">
        <f>43.23</f>
        <v>43.23</v>
      </c>
      <c r="AF440" s="31"/>
      <c r="AG440" s="31"/>
    </row>
    <row r="441" spans="1:33" s="1" customFormat="1" ht="18.75" customHeight="1">
      <c r="A441" s="24" t="s">
        <v>3256</v>
      </c>
      <c r="B441" s="25" t="s">
        <v>3257</v>
      </c>
      <c r="C441" s="25"/>
      <c r="D441" s="25"/>
      <c r="E441" s="26" t="s">
        <v>3255</v>
      </c>
      <c r="F441" s="26"/>
      <c r="G441" s="26"/>
      <c r="H441" s="26"/>
      <c r="I441" s="26"/>
      <c r="J441" s="27" t="s">
        <v>2058</v>
      </c>
      <c r="K441" s="27"/>
      <c r="L441" s="27"/>
      <c r="M441" s="27"/>
      <c r="N441" s="28">
        <f>564.48</f>
        <v>564.48</v>
      </c>
      <c r="O441" s="28"/>
      <c r="P441" s="28"/>
      <c r="Q441" s="27" t="s">
        <v>2032</v>
      </c>
      <c r="R441" s="27"/>
      <c r="S441" s="29" t="s">
        <v>2032</v>
      </c>
      <c r="T441" s="29"/>
      <c r="U441" s="29"/>
      <c r="V441" s="29"/>
      <c r="W441" s="30" t="s">
        <v>2032</v>
      </c>
      <c r="X441" s="29" t="s">
        <v>2032</v>
      </c>
      <c r="Y441" s="29"/>
      <c r="Z441" s="29"/>
      <c r="AA441" s="29"/>
      <c r="AB441" s="27" t="s">
        <v>2058</v>
      </c>
      <c r="AC441" s="27"/>
      <c r="AD441" s="27"/>
      <c r="AE441" s="31">
        <f>564.48</f>
        <v>564.48</v>
      </c>
      <c r="AF441" s="31"/>
      <c r="AG441" s="31"/>
    </row>
    <row r="442" spans="1:33" s="1" customFormat="1" ht="33" customHeight="1">
      <c r="A442" s="24" t="s">
        <v>3258</v>
      </c>
      <c r="B442" s="25" t="s">
        <v>3259</v>
      </c>
      <c r="C442" s="25"/>
      <c r="D442" s="25"/>
      <c r="E442" s="26" t="s">
        <v>3260</v>
      </c>
      <c r="F442" s="26"/>
      <c r="G442" s="26"/>
      <c r="H442" s="26"/>
      <c r="I442" s="26"/>
      <c r="J442" s="27" t="s">
        <v>2056</v>
      </c>
      <c r="K442" s="27"/>
      <c r="L442" s="27"/>
      <c r="M442" s="27"/>
      <c r="N442" s="28">
        <f>325</f>
        <v>325</v>
      </c>
      <c r="O442" s="28"/>
      <c r="P442" s="28"/>
      <c r="Q442" s="27" t="s">
        <v>2032</v>
      </c>
      <c r="R442" s="27"/>
      <c r="S442" s="29" t="s">
        <v>2032</v>
      </c>
      <c r="T442" s="29"/>
      <c r="U442" s="29"/>
      <c r="V442" s="29"/>
      <c r="W442" s="30" t="s">
        <v>2032</v>
      </c>
      <c r="X442" s="29" t="s">
        <v>2032</v>
      </c>
      <c r="Y442" s="29"/>
      <c r="Z442" s="29"/>
      <c r="AA442" s="29"/>
      <c r="AB442" s="27" t="s">
        <v>2056</v>
      </c>
      <c r="AC442" s="27"/>
      <c r="AD442" s="27"/>
      <c r="AE442" s="31">
        <f>325</f>
        <v>325</v>
      </c>
      <c r="AF442" s="31"/>
      <c r="AG442" s="31"/>
    </row>
    <row r="443" spans="1:33" s="1" customFormat="1" ht="18.75" customHeight="1">
      <c r="A443" s="24" t="s">
        <v>3261</v>
      </c>
      <c r="B443" s="25" t="s">
        <v>3262</v>
      </c>
      <c r="C443" s="25"/>
      <c r="D443" s="25"/>
      <c r="E443" s="26" t="s">
        <v>3263</v>
      </c>
      <c r="F443" s="26"/>
      <c r="G443" s="26"/>
      <c r="H443" s="26"/>
      <c r="I443" s="26"/>
      <c r="J443" s="27" t="s">
        <v>2062</v>
      </c>
      <c r="K443" s="27"/>
      <c r="L443" s="27"/>
      <c r="M443" s="27"/>
      <c r="N443" s="28">
        <f>511.42</f>
        <v>511.42</v>
      </c>
      <c r="O443" s="28"/>
      <c r="P443" s="28"/>
      <c r="Q443" s="27" t="s">
        <v>2032</v>
      </c>
      <c r="R443" s="27"/>
      <c r="S443" s="29" t="s">
        <v>2032</v>
      </c>
      <c r="T443" s="29"/>
      <c r="U443" s="29"/>
      <c r="V443" s="29"/>
      <c r="W443" s="30" t="s">
        <v>2032</v>
      </c>
      <c r="X443" s="29" t="s">
        <v>2032</v>
      </c>
      <c r="Y443" s="29"/>
      <c r="Z443" s="29"/>
      <c r="AA443" s="29"/>
      <c r="AB443" s="27" t="s">
        <v>2062</v>
      </c>
      <c r="AC443" s="27"/>
      <c r="AD443" s="27"/>
      <c r="AE443" s="31">
        <f>511.42</f>
        <v>511.42</v>
      </c>
      <c r="AF443" s="31"/>
      <c r="AG443" s="31"/>
    </row>
    <row r="444" spans="1:33" s="1" customFormat="1" ht="18.75" customHeight="1">
      <c r="A444" s="24" t="s">
        <v>3264</v>
      </c>
      <c r="B444" s="25" t="s">
        <v>3265</v>
      </c>
      <c r="C444" s="25"/>
      <c r="D444" s="25"/>
      <c r="E444" s="26" t="s">
        <v>3266</v>
      </c>
      <c r="F444" s="26"/>
      <c r="G444" s="26"/>
      <c r="H444" s="26"/>
      <c r="I444" s="26"/>
      <c r="J444" s="27" t="s">
        <v>2056</v>
      </c>
      <c r="K444" s="27"/>
      <c r="L444" s="27"/>
      <c r="M444" s="27"/>
      <c r="N444" s="28">
        <f>54.45</f>
        <v>54.45</v>
      </c>
      <c r="O444" s="28"/>
      <c r="P444" s="28"/>
      <c r="Q444" s="27" t="s">
        <v>2032</v>
      </c>
      <c r="R444" s="27"/>
      <c r="S444" s="29" t="s">
        <v>2032</v>
      </c>
      <c r="T444" s="29"/>
      <c r="U444" s="29"/>
      <c r="V444" s="29"/>
      <c r="W444" s="30" t="s">
        <v>2032</v>
      </c>
      <c r="X444" s="29" t="s">
        <v>2032</v>
      </c>
      <c r="Y444" s="29"/>
      <c r="Z444" s="29"/>
      <c r="AA444" s="29"/>
      <c r="AB444" s="27" t="s">
        <v>2056</v>
      </c>
      <c r="AC444" s="27"/>
      <c r="AD444" s="27"/>
      <c r="AE444" s="31">
        <f>54.45</f>
        <v>54.45</v>
      </c>
      <c r="AF444" s="31"/>
      <c r="AG444" s="31"/>
    </row>
    <row r="445" spans="1:33" s="1" customFormat="1" ht="18.75" customHeight="1">
      <c r="A445" s="24" t="s">
        <v>3267</v>
      </c>
      <c r="B445" s="25" t="s">
        <v>3268</v>
      </c>
      <c r="C445" s="25"/>
      <c r="D445" s="25"/>
      <c r="E445" s="26" t="s">
        <v>3269</v>
      </c>
      <c r="F445" s="26"/>
      <c r="G445" s="26"/>
      <c r="H445" s="26"/>
      <c r="I445" s="26"/>
      <c r="J445" s="27" t="s">
        <v>2056</v>
      </c>
      <c r="K445" s="27"/>
      <c r="L445" s="27"/>
      <c r="M445" s="27"/>
      <c r="N445" s="28">
        <f>68.12</f>
        <v>68.12</v>
      </c>
      <c r="O445" s="28"/>
      <c r="P445" s="28"/>
      <c r="Q445" s="27" t="s">
        <v>2032</v>
      </c>
      <c r="R445" s="27"/>
      <c r="S445" s="29" t="s">
        <v>2032</v>
      </c>
      <c r="T445" s="29"/>
      <c r="U445" s="29"/>
      <c r="V445" s="29"/>
      <c r="W445" s="30" t="s">
        <v>2032</v>
      </c>
      <c r="X445" s="29" t="s">
        <v>2032</v>
      </c>
      <c r="Y445" s="29"/>
      <c r="Z445" s="29"/>
      <c r="AA445" s="29"/>
      <c r="AB445" s="27" t="s">
        <v>2056</v>
      </c>
      <c r="AC445" s="27"/>
      <c r="AD445" s="27"/>
      <c r="AE445" s="31">
        <f>68.12</f>
        <v>68.12</v>
      </c>
      <c r="AF445" s="31"/>
      <c r="AG445" s="31"/>
    </row>
    <row r="446" spans="1:33" s="1" customFormat="1" ht="33" customHeight="1">
      <c r="A446" s="24" t="s">
        <v>3270</v>
      </c>
      <c r="B446" s="25" t="s">
        <v>3271</v>
      </c>
      <c r="C446" s="25"/>
      <c r="D446" s="25"/>
      <c r="E446" s="26" t="s">
        <v>3272</v>
      </c>
      <c r="F446" s="26"/>
      <c r="G446" s="26"/>
      <c r="H446" s="26"/>
      <c r="I446" s="26"/>
      <c r="J446" s="27" t="s">
        <v>2057</v>
      </c>
      <c r="K446" s="27"/>
      <c r="L446" s="27"/>
      <c r="M446" s="27"/>
      <c r="N446" s="28">
        <f>910</f>
        <v>910</v>
      </c>
      <c r="O446" s="28"/>
      <c r="P446" s="28"/>
      <c r="Q446" s="27" t="s">
        <v>2032</v>
      </c>
      <c r="R446" s="27"/>
      <c r="S446" s="29" t="s">
        <v>2032</v>
      </c>
      <c r="T446" s="29"/>
      <c r="U446" s="29"/>
      <c r="V446" s="29"/>
      <c r="W446" s="30" t="s">
        <v>2032</v>
      </c>
      <c r="X446" s="29" t="s">
        <v>2032</v>
      </c>
      <c r="Y446" s="29"/>
      <c r="Z446" s="29"/>
      <c r="AA446" s="29"/>
      <c r="AB446" s="27" t="s">
        <v>2057</v>
      </c>
      <c r="AC446" s="27"/>
      <c r="AD446" s="27"/>
      <c r="AE446" s="31">
        <f>910</f>
        <v>910</v>
      </c>
      <c r="AF446" s="31"/>
      <c r="AG446" s="31"/>
    </row>
    <row r="447" spans="1:33" s="1" customFormat="1" ht="33" customHeight="1">
      <c r="A447" s="24" t="s">
        <v>2352</v>
      </c>
      <c r="B447" s="25" t="s">
        <v>3273</v>
      </c>
      <c r="C447" s="25"/>
      <c r="D447" s="25"/>
      <c r="E447" s="26" t="s">
        <v>3274</v>
      </c>
      <c r="F447" s="26"/>
      <c r="G447" s="26"/>
      <c r="H447" s="26"/>
      <c r="I447" s="26"/>
      <c r="J447" s="27" t="s">
        <v>2059</v>
      </c>
      <c r="K447" s="27"/>
      <c r="L447" s="27"/>
      <c r="M447" s="27"/>
      <c r="N447" s="28">
        <f>3640</f>
        <v>3640</v>
      </c>
      <c r="O447" s="28"/>
      <c r="P447" s="28"/>
      <c r="Q447" s="27" t="s">
        <v>2032</v>
      </c>
      <c r="R447" s="27"/>
      <c r="S447" s="29" t="s">
        <v>2032</v>
      </c>
      <c r="T447" s="29"/>
      <c r="U447" s="29"/>
      <c r="V447" s="29"/>
      <c r="W447" s="30" t="s">
        <v>2032</v>
      </c>
      <c r="X447" s="29" t="s">
        <v>2032</v>
      </c>
      <c r="Y447" s="29"/>
      <c r="Z447" s="29"/>
      <c r="AA447" s="29"/>
      <c r="AB447" s="27" t="s">
        <v>2059</v>
      </c>
      <c r="AC447" s="27"/>
      <c r="AD447" s="27"/>
      <c r="AE447" s="31">
        <f>3640</f>
        <v>3640</v>
      </c>
      <c r="AF447" s="31"/>
      <c r="AG447" s="31"/>
    </row>
    <row r="448" spans="1:33" s="1" customFormat="1" ht="33" customHeight="1">
      <c r="A448" s="24" t="s">
        <v>3275</v>
      </c>
      <c r="B448" s="25" t="s">
        <v>3276</v>
      </c>
      <c r="C448" s="25"/>
      <c r="D448" s="25"/>
      <c r="E448" s="26" t="s">
        <v>3277</v>
      </c>
      <c r="F448" s="26"/>
      <c r="G448" s="26"/>
      <c r="H448" s="26"/>
      <c r="I448" s="26"/>
      <c r="J448" s="27" t="s">
        <v>2057</v>
      </c>
      <c r="K448" s="27"/>
      <c r="L448" s="27"/>
      <c r="M448" s="27"/>
      <c r="N448" s="28">
        <f>3840</f>
        <v>3840</v>
      </c>
      <c r="O448" s="28"/>
      <c r="P448" s="28"/>
      <c r="Q448" s="27" t="s">
        <v>2032</v>
      </c>
      <c r="R448" s="27"/>
      <c r="S448" s="29" t="s">
        <v>2032</v>
      </c>
      <c r="T448" s="29"/>
      <c r="U448" s="29"/>
      <c r="V448" s="29"/>
      <c r="W448" s="30" t="s">
        <v>2032</v>
      </c>
      <c r="X448" s="29" t="s">
        <v>2032</v>
      </c>
      <c r="Y448" s="29"/>
      <c r="Z448" s="29"/>
      <c r="AA448" s="29"/>
      <c r="AB448" s="27" t="s">
        <v>2057</v>
      </c>
      <c r="AC448" s="27"/>
      <c r="AD448" s="27"/>
      <c r="AE448" s="31">
        <f>3840</f>
        <v>3840</v>
      </c>
      <c r="AF448" s="31"/>
      <c r="AG448" s="31"/>
    </row>
    <row r="449" spans="1:33" s="1" customFormat="1" ht="33" customHeight="1">
      <c r="A449" s="24" t="s">
        <v>3278</v>
      </c>
      <c r="B449" s="25" t="s">
        <v>3279</v>
      </c>
      <c r="C449" s="25"/>
      <c r="D449" s="25"/>
      <c r="E449" s="26" t="s">
        <v>3280</v>
      </c>
      <c r="F449" s="26"/>
      <c r="G449" s="26"/>
      <c r="H449" s="26"/>
      <c r="I449" s="26"/>
      <c r="J449" s="27" t="s">
        <v>2056</v>
      </c>
      <c r="K449" s="27"/>
      <c r="L449" s="27"/>
      <c r="M449" s="27"/>
      <c r="N449" s="28">
        <f>73.06</f>
        <v>73.06</v>
      </c>
      <c r="O449" s="28"/>
      <c r="P449" s="28"/>
      <c r="Q449" s="27" t="s">
        <v>2032</v>
      </c>
      <c r="R449" s="27"/>
      <c r="S449" s="29" t="s">
        <v>2032</v>
      </c>
      <c r="T449" s="29"/>
      <c r="U449" s="29"/>
      <c r="V449" s="29"/>
      <c r="W449" s="30" t="s">
        <v>2032</v>
      </c>
      <c r="X449" s="29" t="s">
        <v>2032</v>
      </c>
      <c r="Y449" s="29"/>
      <c r="Z449" s="29"/>
      <c r="AA449" s="29"/>
      <c r="AB449" s="27" t="s">
        <v>2056</v>
      </c>
      <c r="AC449" s="27"/>
      <c r="AD449" s="27"/>
      <c r="AE449" s="31">
        <f>73.06</f>
        <v>73.06</v>
      </c>
      <c r="AF449" s="31"/>
      <c r="AG449" s="31"/>
    </row>
    <row r="450" spans="1:33" s="1" customFormat="1" ht="33" customHeight="1">
      <c r="A450" s="24" t="s">
        <v>3281</v>
      </c>
      <c r="B450" s="25" t="s">
        <v>3282</v>
      </c>
      <c r="C450" s="25"/>
      <c r="D450" s="25"/>
      <c r="E450" s="26" t="s">
        <v>3283</v>
      </c>
      <c r="F450" s="26"/>
      <c r="G450" s="26"/>
      <c r="H450" s="26"/>
      <c r="I450" s="26"/>
      <c r="J450" s="27" t="s">
        <v>2093</v>
      </c>
      <c r="K450" s="27"/>
      <c r="L450" s="27"/>
      <c r="M450" s="27"/>
      <c r="N450" s="28">
        <f>1876.2</f>
        <v>1876.2</v>
      </c>
      <c r="O450" s="28"/>
      <c r="P450" s="28"/>
      <c r="Q450" s="27" t="s">
        <v>2032</v>
      </c>
      <c r="R450" s="27"/>
      <c r="S450" s="29" t="s">
        <v>2032</v>
      </c>
      <c r="T450" s="29"/>
      <c r="U450" s="29"/>
      <c r="V450" s="29"/>
      <c r="W450" s="30" t="s">
        <v>2032</v>
      </c>
      <c r="X450" s="29" t="s">
        <v>2032</v>
      </c>
      <c r="Y450" s="29"/>
      <c r="Z450" s="29"/>
      <c r="AA450" s="29"/>
      <c r="AB450" s="27" t="s">
        <v>2093</v>
      </c>
      <c r="AC450" s="27"/>
      <c r="AD450" s="27"/>
      <c r="AE450" s="31">
        <f>1876.2</f>
        <v>1876.2</v>
      </c>
      <c r="AF450" s="31"/>
      <c r="AG450" s="31"/>
    </row>
    <row r="451" spans="1:33" s="1" customFormat="1" ht="18.75" customHeight="1">
      <c r="A451" s="24" t="s">
        <v>3284</v>
      </c>
      <c r="B451" s="25" t="s">
        <v>3285</v>
      </c>
      <c r="C451" s="25"/>
      <c r="D451" s="25"/>
      <c r="E451" s="26" t="s">
        <v>3286</v>
      </c>
      <c r="F451" s="26"/>
      <c r="G451" s="26"/>
      <c r="H451" s="26"/>
      <c r="I451" s="26"/>
      <c r="J451" s="27" t="s">
        <v>2056</v>
      </c>
      <c r="K451" s="27"/>
      <c r="L451" s="27"/>
      <c r="M451" s="27"/>
      <c r="N451" s="28">
        <f>1500</f>
        <v>1500</v>
      </c>
      <c r="O451" s="28"/>
      <c r="P451" s="28"/>
      <c r="Q451" s="27" t="s">
        <v>2032</v>
      </c>
      <c r="R451" s="27"/>
      <c r="S451" s="29" t="s">
        <v>2032</v>
      </c>
      <c r="T451" s="29"/>
      <c r="U451" s="29"/>
      <c r="V451" s="29"/>
      <c r="W451" s="30" t="s">
        <v>2032</v>
      </c>
      <c r="X451" s="29" t="s">
        <v>2032</v>
      </c>
      <c r="Y451" s="29"/>
      <c r="Z451" s="29"/>
      <c r="AA451" s="29"/>
      <c r="AB451" s="27" t="s">
        <v>2056</v>
      </c>
      <c r="AC451" s="27"/>
      <c r="AD451" s="27"/>
      <c r="AE451" s="31">
        <f>1500</f>
        <v>1500</v>
      </c>
      <c r="AF451" s="31"/>
      <c r="AG451" s="31"/>
    </row>
    <row r="452" spans="1:33" s="1" customFormat="1" ht="18.75" customHeight="1">
      <c r="A452" s="24" t="s">
        <v>3287</v>
      </c>
      <c r="B452" s="25" t="s">
        <v>3288</v>
      </c>
      <c r="C452" s="25"/>
      <c r="D452" s="25"/>
      <c r="E452" s="26" t="s">
        <v>3289</v>
      </c>
      <c r="F452" s="26"/>
      <c r="G452" s="26"/>
      <c r="H452" s="26"/>
      <c r="I452" s="26"/>
      <c r="J452" s="27" t="s">
        <v>2198</v>
      </c>
      <c r="K452" s="27"/>
      <c r="L452" s="27"/>
      <c r="M452" s="27"/>
      <c r="N452" s="28">
        <f>1280</f>
        <v>1280</v>
      </c>
      <c r="O452" s="28"/>
      <c r="P452" s="28"/>
      <c r="Q452" s="27" t="s">
        <v>2032</v>
      </c>
      <c r="R452" s="27"/>
      <c r="S452" s="29" t="s">
        <v>2032</v>
      </c>
      <c r="T452" s="29"/>
      <c r="U452" s="29"/>
      <c r="V452" s="29"/>
      <c r="W452" s="30" t="s">
        <v>2032</v>
      </c>
      <c r="X452" s="29" t="s">
        <v>2032</v>
      </c>
      <c r="Y452" s="29"/>
      <c r="Z452" s="29"/>
      <c r="AA452" s="29"/>
      <c r="AB452" s="27" t="s">
        <v>2198</v>
      </c>
      <c r="AC452" s="27"/>
      <c r="AD452" s="27"/>
      <c r="AE452" s="31">
        <f>1280</f>
        <v>1280</v>
      </c>
      <c r="AF452" s="31"/>
      <c r="AG452" s="31"/>
    </row>
    <row r="453" spans="1:33" s="1" customFormat="1" ht="18.75" customHeight="1">
      <c r="A453" s="24" t="s">
        <v>3290</v>
      </c>
      <c r="B453" s="25" t="s">
        <v>3291</v>
      </c>
      <c r="C453" s="25"/>
      <c r="D453" s="25"/>
      <c r="E453" s="26" t="s">
        <v>3292</v>
      </c>
      <c r="F453" s="26"/>
      <c r="G453" s="26"/>
      <c r="H453" s="26"/>
      <c r="I453" s="26"/>
      <c r="J453" s="27" t="s">
        <v>2063</v>
      </c>
      <c r="K453" s="27"/>
      <c r="L453" s="27"/>
      <c r="M453" s="27"/>
      <c r="N453" s="28">
        <f>40</f>
        <v>40</v>
      </c>
      <c r="O453" s="28"/>
      <c r="P453" s="28"/>
      <c r="Q453" s="27" t="s">
        <v>2032</v>
      </c>
      <c r="R453" s="27"/>
      <c r="S453" s="29" t="s">
        <v>2032</v>
      </c>
      <c r="T453" s="29"/>
      <c r="U453" s="29"/>
      <c r="V453" s="29"/>
      <c r="W453" s="30" t="s">
        <v>2032</v>
      </c>
      <c r="X453" s="29" t="s">
        <v>2032</v>
      </c>
      <c r="Y453" s="29"/>
      <c r="Z453" s="29"/>
      <c r="AA453" s="29"/>
      <c r="AB453" s="27" t="s">
        <v>2063</v>
      </c>
      <c r="AC453" s="27"/>
      <c r="AD453" s="27"/>
      <c r="AE453" s="31">
        <f>40</f>
        <v>40</v>
      </c>
      <c r="AF453" s="31"/>
      <c r="AG453" s="31"/>
    </row>
    <row r="454" spans="1:33" s="1" customFormat="1" ht="18.75" customHeight="1">
      <c r="A454" s="24" t="s">
        <v>3293</v>
      </c>
      <c r="B454" s="25" t="s">
        <v>3294</v>
      </c>
      <c r="C454" s="25"/>
      <c r="D454" s="25"/>
      <c r="E454" s="26" t="s">
        <v>3295</v>
      </c>
      <c r="F454" s="26"/>
      <c r="G454" s="26"/>
      <c r="H454" s="26"/>
      <c r="I454" s="26"/>
      <c r="J454" s="27" t="s">
        <v>2123</v>
      </c>
      <c r="K454" s="27"/>
      <c r="L454" s="27"/>
      <c r="M454" s="27"/>
      <c r="N454" s="28">
        <f>125</f>
        <v>125</v>
      </c>
      <c r="O454" s="28"/>
      <c r="P454" s="28"/>
      <c r="Q454" s="27" t="s">
        <v>2032</v>
      </c>
      <c r="R454" s="27"/>
      <c r="S454" s="29" t="s">
        <v>2032</v>
      </c>
      <c r="T454" s="29"/>
      <c r="U454" s="29"/>
      <c r="V454" s="29"/>
      <c r="W454" s="30" t="s">
        <v>2032</v>
      </c>
      <c r="X454" s="29" t="s">
        <v>2032</v>
      </c>
      <c r="Y454" s="29"/>
      <c r="Z454" s="29"/>
      <c r="AA454" s="29"/>
      <c r="AB454" s="27" t="s">
        <v>2123</v>
      </c>
      <c r="AC454" s="27"/>
      <c r="AD454" s="27"/>
      <c r="AE454" s="31">
        <f>125</f>
        <v>125</v>
      </c>
      <c r="AF454" s="31"/>
      <c r="AG454" s="31"/>
    </row>
    <row r="455" spans="1:33" s="1" customFormat="1" ht="18.75" customHeight="1">
      <c r="A455" s="24" t="s">
        <v>3296</v>
      </c>
      <c r="B455" s="25" t="s">
        <v>3297</v>
      </c>
      <c r="C455" s="25"/>
      <c r="D455" s="25"/>
      <c r="E455" s="26" t="s">
        <v>3298</v>
      </c>
      <c r="F455" s="26"/>
      <c r="G455" s="26"/>
      <c r="H455" s="26"/>
      <c r="I455" s="26"/>
      <c r="J455" s="27" t="s">
        <v>2066</v>
      </c>
      <c r="K455" s="27"/>
      <c r="L455" s="27"/>
      <c r="M455" s="27"/>
      <c r="N455" s="28">
        <f>3610</f>
        <v>3610</v>
      </c>
      <c r="O455" s="28"/>
      <c r="P455" s="28"/>
      <c r="Q455" s="27" t="s">
        <v>2032</v>
      </c>
      <c r="R455" s="27"/>
      <c r="S455" s="29" t="s">
        <v>2032</v>
      </c>
      <c r="T455" s="29"/>
      <c r="U455" s="29"/>
      <c r="V455" s="29"/>
      <c r="W455" s="30" t="s">
        <v>2032</v>
      </c>
      <c r="X455" s="29" t="s">
        <v>2032</v>
      </c>
      <c r="Y455" s="29"/>
      <c r="Z455" s="29"/>
      <c r="AA455" s="29"/>
      <c r="AB455" s="27" t="s">
        <v>2066</v>
      </c>
      <c r="AC455" s="27"/>
      <c r="AD455" s="27"/>
      <c r="AE455" s="31">
        <f>3610</f>
        <v>3610</v>
      </c>
      <c r="AF455" s="31"/>
      <c r="AG455" s="31"/>
    </row>
    <row r="456" spans="1:33" s="1" customFormat="1" ht="33" customHeight="1">
      <c r="A456" s="24" t="s">
        <v>3299</v>
      </c>
      <c r="B456" s="25" t="s">
        <v>3300</v>
      </c>
      <c r="C456" s="25"/>
      <c r="D456" s="25"/>
      <c r="E456" s="26" t="s">
        <v>3301</v>
      </c>
      <c r="F456" s="26"/>
      <c r="G456" s="26"/>
      <c r="H456" s="26"/>
      <c r="I456" s="26"/>
      <c r="J456" s="27" t="s">
        <v>2056</v>
      </c>
      <c r="K456" s="27"/>
      <c r="L456" s="27"/>
      <c r="M456" s="27"/>
      <c r="N456" s="28">
        <f>390</f>
        <v>390</v>
      </c>
      <c r="O456" s="28"/>
      <c r="P456" s="28"/>
      <c r="Q456" s="27" t="s">
        <v>2032</v>
      </c>
      <c r="R456" s="27"/>
      <c r="S456" s="29" t="s">
        <v>2032</v>
      </c>
      <c r="T456" s="29"/>
      <c r="U456" s="29"/>
      <c r="V456" s="29"/>
      <c r="W456" s="30" t="s">
        <v>2032</v>
      </c>
      <c r="X456" s="29" t="s">
        <v>2032</v>
      </c>
      <c r="Y456" s="29"/>
      <c r="Z456" s="29"/>
      <c r="AA456" s="29"/>
      <c r="AB456" s="27" t="s">
        <v>2056</v>
      </c>
      <c r="AC456" s="27"/>
      <c r="AD456" s="27"/>
      <c r="AE456" s="31">
        <f>390</f>
        <v>390</v>
      </c>
      <c r="AF456" s="31"/>
      <c r="AG456" s="31"/>
    </row>
    <row r="457" spans="1:33" s="1" customFormat="1" ht="33" customHeight="1">
      <c r="A457" s="24" t="s">
        <v>3302</v>
      </c>
      <c r="B457" s="25" t="s">
        <v>3303</v>
      </c>
      <c r="C457" s="25"/>
      <c r="D457" s="25"/>
      <c r="E457" s="26" t="s">
        <v>3304</v>
      </c>
      <c r="F457" s="26"/>
      <c r="G457" s="26"/>
      <c r="H457" s="26"/>
      <c r="I457" s="26"/>
      <c r="J457" s="27" t="s">
        <v>2057</v>
      </c>
      <c r="K457" s="27"/>
      <c r="L457" s="27"/>
      <c r="M457" s="27"/>
      <c r="N457" s="28">
        <f>313.88</f>
        <v>313.88</v>
      </c>
      <c r="O457" s="28"/>
      <c r="P457" s="28"/>
      <c r="Q457" s="27" t="s">
        <v>2032</v>
      </c>
      <c r="R457" s="27"/>
      <c r="S457" s="29" t="s">
        <v>2032</v>
      </c>
      <c r="T457" s="29"/>
      <c r="U457" s="29"/>
      <c r="V457" s="29"/>
      <c r="W457" s="30" t="s">
        <v>2032</v>
      </c>
      <c r="X457" s="29" t="s">
        <v>2032</v>
      </c>
      <c r="Y457" s="29"/>
      <c r="Z457" s="29"/>
      <c r="AA457" s="29"/>
      <c r="AB457" s="27" t="s">
        <v>2057</v>
      </c>
      <c r="AC457" s="27"/>
      <c r="AD457" s="27"/>
      <c r="AE457" s="31">
        <f>313.88</f>
        <v>313.88</v>
      </c>
      <c r="AF457" s="31"/>
      <c r="AG457" s="31"/>
    </row>
    <row r="458" spans="1:33" s="1" customFormat="1" ht="18.75" customHeight="1">
      <c r="A458" s="24" t="s">
        <v>3305</v>
      </c>
      <c r="B458" s="25" t="s">
        <v>3306</v>
      </c>
      <c r="C458" s="25"/>
      <c r="D458" s="25"/>
      <c r="E458" s="26" t="s">
        <v>3307</v>
      </c>
      <c r="F458" s="26"/>
      <c r="G458" s="26"/>
      <c r="H458" s="26"/>
      <c r="I458" s="26"/>
      <c r="J458" s="27" t="s">
        <v>2056</v>
      </c>
      <c r="K458" s="27"/>
      <c r="L458" s="27"/>
      <c r="M458" s="27"/>
      <c r="N458" s="28">
        <f>325</f>
        <v>325</v>
      </c>
      <c r="O458" s="28"/>
      <c r="P458" s="28"/>
      <c r="Q458" s="27" t="s">
        <v>2032</v>
      </c>
      <c r="R458" s="27"/>
      <c r="S458" s="29" t="s">
        <v>2032</v>
      </c>
      <c r="T458" s="29"/>
      <c r="U458" s="29"/>
      <c r="V458" s="29"/>
      <c r="W458" s="30" t="s">
        <v>2032</v>
      </c>
      <c r="X458" s="29" t="s">
        <v>2032</v>
      </c>
      <c r="Y458" s="29"/>
      <c r="Z458" s="29"/>
      <c r="AA458" s="29"/>
      <c r="AB458" s="27" t="s">
        <v>2056</v>
      </c>
      <c r="AC458" s="27"/>
      <c r="AD458" s="27"/>
      <c r="AE458" s="31">
        <f>325</f>
        <v>325</v>
      </c>
      <c r="AF458" s="31"/>
      <c r="AG458" s="31"/>
    </row>
    <row r="459" spans="1:33" s="1" customFormat="1" ht="18.75" customHeight="1">
      <c r="A459" s="24" t="s">
        <v>3308</v>
      </c>
      <c r="B459" s="25" t="s">
        <v>3309</v>
      </c>
      <c r="C459" s="25"/>
      <c r="D459" s="25"/>
      <c r="E459" s="26" t="s">
        <v>3310</v>
      </c>
      <c r="F459" s="26"/>
      <c r="G459" s="26"/>
      <c r="H459" s="26"/>
      <c r="I459" s="26"/>
      <c r="J459" s="27" t="s">
        <v>2056</v>
      </c>
      <c r="K459" s="27"/>
      <c r="L459" s="27"/>
      <c r="M459" s="27"/>
      <c r="N459" s="28">
        <f>325</f>
        <v>325</v>
      </c>
      <c r="O459" s="28"/>
      <c r="P459" s="28"/>
      <c r="Q459" s="27" t="s">
        <v>2032</v>
      </c>
      <c r="R459" s="27"/>
      <c r="S459" s="29" t="s">
        <v>2032</v>
      </c>
      <c r="T459" s="29"/>
      <c r="U459" s="29"/>
      <c r="V459" s="29"/>
      <c r="W459" s="30" t="s">
        <v>2032</v>
      </c>
      <c r="X459" s="29" t="s">
        <v>2032</v>
      </c>
      <c r="Y459" s="29"/>
      <c r="Z459" s="29"/>
      <c r="AA459" s="29"/>
      <c r="AB459" s="27" t="s">
        <v>2056</v>
      </c>
      <c r="AC459" s="27"/>
      <c r="AD459" s="27"/>
      <c r="AE459" s="31">
        <f>325</f>
        <v>325</v>
      </c>
      <c r="AF459" s="31"/>
      <c r="AG459" s="31"/>
    </row>
    <row r="460" spans="1:33" s="1" customFormat="1" ht="33" customHeight="1">
      <c r="A460" s="24" t="s">
        <v>3311</v>
      </c>
      <c r="B460" s="25" t="s">
        <v>3312</v>
      </c>
      <c r="C460" s="25"/>
      <c r="D460" s="25"/>
      <c r="E460" s="26" t="s">
        <v>3313</v>
      </c>
      <c r="F460" s="26"/>
      <c r="G460" s="26"/>
      <c r="H460" s="26"/>
      <c r="I460" s="26"/>
      <c r="J460" s="27" t="s">
        <v>2056</v>
      </c>
      <c r="K460" s="27"/>
      <c r="L460" s="27"/>
      <c r="M460" s="27"/>
      <c r="N460" s="28">
        <f>325</f>
        <v>325</v>
      </c>
      <c r="O460" s="28"/>
      <c r="P460" s="28"/>
      <c r="Q460" s="27" t="s">
        <v>2032</v>
      </c>
      <c r="R460" s="27"/>
      <c r="S460" s="29" t="s">
        <v>2032</v>
      </c>
      <c r="T460" s="29"/>
      <c r="U460" s="29"/>
      <c r="V460" s="29"/>
      <c r="W460" s="30" t="s">
        <v>2032</v>
      </c>
      <c r="X460" s="29" t="s">
        <v>2032</v>
      </c>
      <c r="Y460" s="29"/>
      <c r="Z460" s="29"/>
      <c r="AA460" s="29"/>
      <c r="AB460" s="27" t="s">
        <v>2056</v>
      </c>
      <c r="AC460" s="27"/>
      <c r="AD460" s="27"/>
      <c r="AE460" s="31">
        <f>325</f>
        <v>325</v>
      </c>
      <c r="AF460" s="31"/>
      <c r="AG460" s="31"/>
    </row>
    <row r="461" spans="1:33" s="1" customFormat="1" ht="18.75" customHeight="1">
      <c r="A461" s="24" t="s">
        <v>3314</v>
      </c>
      <c r="B461" s="25" t="s">
        <v>2462</v>
      </c>
      <c r="C461" s="25"/>
      <c r="D461" s="25"/>
      <c r="E461" s="26" t="s">
        <v>3315</v>
      </c>
      <c r="F461" s="26"/>
      <c r="G461" s="26"/>
      <c r="H461" s="26"/>
      <c r="I461" s="26"/>
      <c r="J461" s="27" t="s">
        <v>2056</v>
      </c>
      <c r="K461" s="27"/>
      <c r="L461" s="27"/>
      <c r="M461" s="27"/>
      <c r="N461" s="28">
        <f>30.68</f>
        <v>30.68</v>
      </c>
      <c r="O461" s="28"/>
      <c r="P461" s="28"/>
      <c r="Q461" s="27" t="s">
        <v>2032</v>
      </c>
      <c r="R461" s="27"/>
      <c r="S461" s="29" t="s">
        <v>2032</v>
      </c>
      <c r="T461" s="29"/>
      <c r="U461" s="29"/>
      <c r="V461" s="29"/>
      <c r="W461" s="30" t="s">
        <v>2032</v>
      </c>
      <c r="X461" s="29" t="s">
        <v>2032</v>
      </c>
      <c r="Y461" s="29"/>
      <c r="Z461" s="29"/>
      <c r="AA461" s="29"/>
      <c r="AB461" s="27" t="s">
        <v>2056</v>
      </c>
      <c r="AC461" s="27"/>
      <c r="AD461" s="27"/>
      <c r="AE461" s="31">
        <f>30.68</f>
        <v>30.68</v>
      </c>
      <c r="AF461" s="31"/>
      <c r="AG461" s="31"/>
    </row>
    <row r="462" spans="1:33" s="1" customFormat="1" ht="18.75" customHeight="1">
      <c r="A462" s="24" t="s">
        <v>3316</v>
      </c>
      <c r="B462" s="25" t="s">
        <v>2465</v>
      </c>
      <c r="C462" s="25"/>
      <c r="D462" s="25"/>
      <c r="E462" s="26" t="s">
        <v>3317</v>
      </c>
      <c r="F462" s="26"/>
      <c r="G462" s="26"/>
      <c r="H462" s="26"/>
      <c r="I462" s="26"/>
      <c r="J462" s="27" t="s">
        <v>2056</v>
      </c>
      <c r="K462" s="27"/>
      <c r="L462" s="27"/>
      <c r="M462" s="27"/>
      <c r="N462" s="28">
        <f>29.5</f>
        <v>29.5</v>
      </c>
      <c r="O462" s="28"/>
      <c r="P462" s="28"/>
      <c r="Q462" s="27" t="s">
        <v>2032</v>
      </c>
      <c r="R462" s="27"/>
      <c r="S462" s="29" t="s">
        <v>2032</v>
      </c>
      <c r="T462" s="29"/>
      <c r="U462" s="29"/>
      <c r="V462" s="29"/>
      <c r="W462" s="30" t="s">
        <v>2032</v>
      </c>
      <c r="X462" s="29" t="s">
        <v>2032</v>
      </c>
      <c r="Y462" s="29"/>
      <c r="Z462" s="29"/>
      <c r="AA462" s="29"/>
      <c r="AB462" s="27" t="s">
        <v>2056</v>
      </c>
      <c r="AC462" s="27"/>
      <c r="AD462" s="27"/>
      <c r="AE462" s="31">
        <f>29.5</f>
        <v>29.5</v>
      </c>
      <c r="AF462" s="31"/>
      <c r="AG462" s="31"/>
    </row>
    <row r="463" spans="1:33" s="1" customFormat="1" ht="18.75" customHeight="1">
      <c r="A463" s="24" t="s">
        <v>3318</v>
      </c>
      <c r="B463" s="25" t="s">
        <v>2486</v>
      </c>
      <c r="C463" s="25"/>
      <c r="D463" s="25"/>
      <c r="E463" s="26" t="s">
        <v>3319</v>
      </c>
      <c r="F463" s="26"/>
      <c r="G463" s="26"/>
      <c r="H463" s="26"/>
      <c r="I463" s="26"/>
      <c r="J463" s="27" t="s">
        <v>2056</v>
      </c>
      <c r="K463" s="27"/>
      <c r="L463" s="27"/>
      <c r="M463" s="27"/>
      <c r="N463" s="28">
        <f>33.04</f>
        <v>33.04</v>
      </c>
      <c r="O463" s="28"/>
      <c r="P463" s="28"/>
      <c r="Q463" s="27" t="s">
        <v>2032</v>
      </c>
      <c r="R463" s="27"/>
      <c r="S463" s="29" t="s">
        <v>2032</v>
      </c>
      <c r="T463" s="29"/>
      <c r="U463" s="29"/>
      <c r="V463" s="29"/>
      <c r="W463" s="30" t="s">
        <v>2032</v>
      </c>
      <c r="X463" s="29" t="s">
        <v>2032</v>
      </c>
      <c r="Y463" s="29"/>
      <c r="Z463" s="29"/>
      <c r="AA463" s="29"/>
      <c r="AB463" s="27" t="s">
        <v>2056</v>
      </c>
      <c r="AC463" s="27"/>
      <c r="AD463" s="27"/>
      <c r="AE463" s="31">
        <f>33.04</f>
        <v>33.04</v>
      </c>
      <c r="AF463" s="31"/>
      <c r="AG463" s="31"/>
    </row>
    <row r="464" spans="1:33" s="1" customFormat="1" ht="18.75" customHeight="1">
      <c r="A464" s="24" t="s">
        <v>3320</v>
      </c>
      <c r="B464" s="25" t="s">
        <v>2489</v>
      </c>
      <c r="C464" s="25"/>
      <c r="D464" s="25"/>
      <c r="E464" s="26" t="s">
        <v>3321</v>
      </c>
      <c r="F464" s="26"/>
      <c r="G464" s="26"/>
      <c r="H464" s="26"/>
      <c r="I464" s="26"/>
      <c r="J464" s="27" t="s">
        <v>2056</v>
      </c>
      <c r="K464" s="27"/>
      <c r="L464" s="27"/>
      <c r="M464" s="27"/>
      <c r="N464" s="28">
        <f>35.4</f>
        <v>35.4</v>
      </c>
      <c r="O464" s="28"/>
      <c r="P464" s="28"/>
      <c r="Q464" s="27" t="s">
        <v>2032</v>
      </c>
      <c r="R464" s="27"/>
      <c r="S464" s="29" t="s">
        <v>2032</v>
      </c>
      <c r="T464" s="29"/>
      <c r="U464" s="29"/>
      <c r="V464" s="29"/>
      <c r="W464" s="30" t="s">
        <v>2032</v>
      </c>
      <c r="X464" s="29" t="s">
        <v>2032</v>
      </c>
      <c r="Y464" s="29"/>
      <c r="Z464" s="29"/>
      <c r="AA464" s="29"/>
      <c r="AB464" s="27" t="s">
        <v>2056</v>
      </c>
      <c r="AC464" s="27"/>
      <c r="AD464" s="27"/>
      <c r="AE464" s="31">
        <f>35.4</f>
        <v>35.4</v>
      </c>
      <c r="AF464" s="31"/>
      <c r="AG464" s="31"/>
    </row>
    <row r="465" spans="1:33" s="1" customFormat="1" ht="18.75" customHeight="1">
      <c r="A465" s="24" t="s">
        <v>3322</v>
      </c>
      <c r="B465" s="25" t="s">
        <v>3323</v>
      </c>
      <c r="C465" s="25"/>
      <c r="D465" s="25"/>
      <c r="E465" s="26" t="s">
        <v>3324</v>
      </c>
      <c r="F465" s="26"/>
      <c r="G465" s="26"/>
      <c r="H465" s="26"/>
      <c r="I465" s="26"/>
      <c r="J465" s="27" t="s">
        <v>2056</v>
      </c>
      <c r="K465" s="27"/>
      <c r="L465" s="27"/>
      <c r="M465" s="27"/>
      <c r="N465" s="28">
        <f>48.38</f>
        <v>48.38</v>
      </c>
      <c r="O465" s="28"/>
      <c r="P465" s="28"/>
      <c r="Q465" s="27" t="s">
        <v>2032</v>
      </c>
      <c r="R465" s="27"/>
      <c r="S465" s="29" t="s">
        <v>2032</v>
      </c>
      <c r="T465" s="29"/>
      <c r="U465" s="29"/>
      <c r="V465" s="29"/>
      <c r="W465" s="30" t="s">
        <v>2032</v>
      </c>
      <c r="X465" s="29" t="s">
        <v>2032</v>
      </c>
      <c r="Y465" s="29"/>
      <c r="Z465" s="29"/>
      <c r="AA465" s="29"/>
      <c r="AB465" s="27" t="s">
        <v>2056</v>
      </c>
      <c r="AC465" s="27"/>
      <c r="AD465" s="27"/>
      <c r="AE465" s="31">
        <f>48.38</f>
        <v>48.38</v>
      </c>
      <c r="AF465" s="31"/>
      <c r="AG465" s="31"/>
    </row>
    <row r="466" spans="1:33" s="1" customFormat="1" ht="18.75" customHeight="1">
      <c r="A466" s="24" t="s">
        <v>3325</v>
      </c>
      <c r="B466" s="25" t="s">
        <v>3326</v>
      </c>
      <c r="C466" s="25"/>
      <c r="D466" s="25"/>
      <c r="E466" s="26" t="s">
        <v>3327</v>
      </c>
      <c r="F466" s="26"/>
      <c r="G466" s="26"/>
      <c r="H466" s="26"/>
      <c r="I466" s="26"/>
      <c r="J466" s="27" t="s">
        <v>2056</v>
      </c>
      <c r="K466" s="27"/>
      <c r="L466" s="27"/>
      <c r="M466" s="27"/>
      <c r="N466" s="28">
        <f>168.3</f>
        <v>168.3</v>
      </c>
      <c r="O466" s="28"/>
      <c r="P466" s="28"/>
      <c r="Q466" s="27" t="s">
        <v>2032</v>
      </c>
      <c r="R466" s="27"/>
      <c r="S466" s="29" t="s">
        <v>2032</v>
      </c>
      <c r="T466" s="29"/>
      <c r="U466" s="29"/>
      <c r="V466" s="29"/>
      <c r="W466" s="30" t="s">
        <v>2032</v>
      </c>
      <c r="X466" s="29" t="s">
        <v>2032</v>
      </c>
      <c r="Y466" s="29"/>
      <c r="Z466" s="29"/>
      <c r="AA466" s="29"/>
      <c r="AB466" s="27" t="s">
        <v>2056</v>
      </c>
      <c r="AC466" s="27"/>
      <c r="AD466" s="27"/>
      <c r="AE466" s="31">
        <f>168.3</f>
        <v>168.3</v>
      </c>
      <c r="AF466" s="31"/>
      <c r="AG466" s="31"/>
    </row>
    <row r="467" spans="1:33" s="1" customFormat="1" ht="33" customHeight="1">
      <c r="A467" s="24" t="s">
        <v>3328</v>
      </c>
      <c r="B467" s="25" t="s">
        <v>3329</v>
      </c>
      <c r="C467" s="25"/>
      <c r="D467" s="25"/>
      <c r="E467" s="26" t="s">
        <v>3330</v>
      </c>
      <c r="F467" s="26"/>
      <c r="G467" s="26"/>
      <c r="H467" s="26"/>
      <c r="I467" s="26"/>
      <c r="J467" s="27" t="s">
        <v>2138</v>
      </c>
      <c r="K467" s="27"/>
      <c r="L467" s="27"/>
      <c r="M467" s="27"/>
      <c r="N467" s="28">
        <f>10800</f>
        <v>10800</v>
      </c>
      <c r="O467" s="28"/>
      <c r="P467" s="28"/>
      <c r="Q467" s="27" t="s">
        <v>2032</v>
      </c>
      <c r="R467" s="27"/>
      <c r="S467" s="29" t="s">
        <v>2032</v>
      </c>
      <c r="T467" s="29"/>
      <c r="U467" s="29"/>
      <c r="V467" s="29"/>
      <c r="W467" s="30" t="s">
        <v>2032</v>
      </c>
      <c r="X467" s="29" t="s">
        <v>2032</v>
      </c>
      <c r="Y467" s="29"/>
      <c r="Z467" s="29"/>
      <c r="AA467" s="29"/>
      <c r="AB467" s="27" t="s">
        <v>2138</v>
      </c>
      <c r="AC467" s="27"/>
      <c r="AD467" s="27"/>
      <c r="AE467" s="31">
        <f>10800</f>
        <v>10800</v>
      </c>
      <c r="AF467" s="31"/>
      <c r="AG467" s="31"/>
    </row>
    <row r="468" spans="1:33" s="1" customFormat="1" ht="18.75" customHeight="1">
      <c r="A468" s="24" t="s">
        <v>3331</v>
      </c>
      <c r="B468" s="25" t="s">
        <v>3332</v>
      </c>
      <c r="C468" s="25"/>
      <c r="D468" s="25"/>
      <c r="E468" s="26" t="s">
        <v>3333</v>
      </c>
      <c r="F468" s="26"/>
      <c r="G468" s="26"/>
      <c r="H468" s="26"/>
      <c r="I468" s="26"/>
      <c r="J468" s="27" t="s">
        <v>2056</v>
      </c>
      <c r="K468" s="27"/>
      <c r="L468" s="27"/>
      <c r="M468" s="27"/>
      <c r="N468" s="28">
        <f>107</f>
        <v>107</v>
      </c>
      <c r="O468" s="28"/>
      <c r="P468" s="28"/>
      <c r="Q468" s="27" t="s">
        <v>2032</v>
      </c>
      <c r="R468" s="27"/>
      <c r="S468" s="29" t="s">
        <v>2032</v>
      </c>
      <c r="T468" s="29"/>
      <c r="U468" s="29"/>
      <c r="V468" s="29"/>
      <c r="W468" s="30" t="s">
        <v>2032</v>
      </c>
      <c r="X468" s="29" t="s">
        <v>2032</v>
      </c>
      <c r="Y468" s="29"/>
      <c r="Z468" s="29"/>
      <c r="AA468" s="29"/>
      <c r="AB468" s="27" t="s">
        <v>2056</v>
      </c>
      <c r="AC468" s="27"/>
      <c r="AD468" s="27"/>
      <c r="AE468" s="31">
        <f>107</f>
        <v>107</v>
      </c>
      <c r="AF468" s="31"/>
      <c r="AG468" s="31"/>
    </row>
    <row r="469" spans="1:33" s="1" customFormat="1" ht="18.75" customHeight="1">
      <c r="A469" s="24" t="s">
        <v>3334</v>
      </c>
      <c r="B469" s="25" t="s">
        <v>3335</v>
      </c>
      <c r="C469" s="25"/>
      <c r="D469" s="25"/>
      <c r="E469" s="26" t="s">
        <v>3336</v>
      </c>
      <c r="F469" s="26"/>
      <c r="G469" s="26"/>
      <c r="H469" s="26"/>
      <c r="I469" s="26"/>
      <c r="J469" s="27" t="s">
        <v>2065</v>
      </c>
      <c r="K469" s="27"/>
      <c r="L469" s="27"/>
      <c r="M469" s="27"/>
      <c r="N469" s="28">
        <f>1668.8</f>
        <v>1668.8</v>
      </c>
      <c r="O469" s="28"/>
      <c r="P469" s="28"/>
      <c r="Q469" s="27" t="s">
        <v>2032</v>
      </c>
      <c r="R469" s="27"/>
      <c r="S469" s="29" t="s">
        <v>2032</v>
      </c>
      <c r="T469" s="29"/>
      <c r="U469" s="29"/>
      <c r="V469" s="29"/>
      <c r="W469" s="30" t="s">
        <v>2032</v>
      </c>
      <c r="X469" s="29" t="s">
        <v>2032</v>
      </c>
      <c r="Y469" s="29"/>
      <c r="Z469" s="29"/>
      <c r="AA469" s="29"/>
      <c r="AB469" s="27" t="s">
        <v>2065</v>
      </c>
      <c r="AC469" s="27"/>
      <c r="AD469" s="27"/>
      <c r="AE469" s="31">
        <f>1668.8</f>
        <v>1668.8</v>
      </c>
      <c r="AF469" s="31"/>
      <c r="AG469" s="31"/>
    </row>
    <row r="470" spans="1:33" s="1" customFormat="1" ht="18.75" customHeight="1">
      <c r="A470" s="24" t="s">
        <v>3337</v>
      </c>
      <c r="B470" s="25" t="s">
        <v>3338</v>
      </c>
      <c r="C470" s="25"/>
      <c r="D470" s="25"/>
      <c r="E470" s="26" t="s">
        <v>3339</v>
      </c>
      <c r="F470" s="26"/>
      <c r="G470" s="26"/>
      <c r="H470" s="26"/>
      <c r="I470" s="26"/>
      <c r="J470" s="27" t="s">
        <v>2056</v>
      </c>
      <c r="K470" s="27"/>
      <c r="L470" s="27"/>
      <c r="M470" s="27"/>
      <c r="N470" s="28">
        <f>170</f>
        <v>170</v>
      </c>
      <c r="O470" s="28"/>
      <c r="P470" s="28"/>
      <c r="Q470" s="27" t="s">
        <v>2032</v>
      </c>
      <c r="R470" s="27"/>
      <c r="S470" s="29" t="s">
        <v>2032</v>
      </c>
      <c r="T470" s="29"/>
      <c r="U470" s="29"/>
      <c r="V470" s="29"/>
      <c r="W470" s="30" t="s">
        <v>2032</v>
      </c>
      <c r="X470" s="29" t="s">
        <v>2032</v>
      </c>
      <c r="Y470" s="29"/>
      <c r="Z470" s="29"/>
      <c r="AA470" s="29"/>
      <c r="AB470" s="27" t="s">
        <v>2056</v>
      </c>
      <c r="AC470" s="27"/>
      <c r="AD470" s="27"/>
      <c r="AE470" s="31">
        <f>170</f>
        <v>170</v>
      </c>
      <c r="AF470" s="31"/>
      <c r="AG470" s="31"/>
    </row>
    <row r="471" spans="1:33" s="1" customFormat="1" ht="33" customHeight="1">
      <c r="A471" s="24" t="s">
        <v>3340</v>
      </c>
      <c r="B471" s="25" t="s">
        <v>3341</v>
      </c>
      <c r="C471" s="25"/>
      <c r="D471" s="25"/>
      <c r="E471" s="26" t="s">
        <v>3342</v>
      </c>
      <c r="F471" s="26"/>
      <c r="G471" s="26"/>
      <c r="H471" s="26"/>
      <c r="I471" s="26"/>
      <c r="J471" s="27" t="s">
        <v>2192</v>
      </c>
      <c r="K471" s="27"/>
      <c r="L471" s="27"/>
      <c r="M471" s="27"/>
      <c r="N471" s="28">
        <f>4200</f>
        <v>4200</v>
      </c>
      <c r="O471" s="28"/>
      <c r="P471" s="28"/>
      <c r="Q471" s="27" t="s">
        <v>2032</v>
      </c>
      <c r="R471" s="27"/>
      <c r="S471" s="29" t="s">
        <v>2032</v>
      </c>
      <c r="T471" s="29"/>
      <c r="U471" s="29"/>
      <c r="V471" s="29"/>
      <c r="W471" s="30" t="s">
        <v>2032</v>
      </c>
      <c r="X471" s="29" t="s">
        <v>2032</v>
      </c>
      <c r="Y471" s="29"/>
      <c r="Z471" s="29"/>
      <c r="AA471" s="29"/>
      <c r="AB471" s="27" t="s">
        <v>2192</v>
      </c>
      <c r="AC471" s="27"/>
      <c r="AD471" s="27"/>
      <c r="AE471" s="31">
        <f>4200</f>
        <v>4200</v>
      </c>
      <c r="AF471" s="31"/>
      <c r="AG471" s="31"/>
    </row>
    <row r="472" spans="1:33" s="1" customFormat="1" ht="33" customHeight="1">
      <c r="A472" s="24" t="s">
        <v>3343</v>
      </c>
      <c r="B472" s="25" t="s">
        <v>3344</v>
      </c>
      <c r="C472" s="25"/>
      <c r="D472" s="25"/>
      <c r="E472" s="26" t="s">
        <v>3345</v>
      </c>
      <c r="F472" s="26"/>
      <c r="G472" s="26"/>
      <c r="H472" s="26"/>
      <c r="I472" s="26"/>
      <c r="J472" s="27" t="s">
        <v>2144</v>
      </c>
      <c r="K472" s="27"/>
      <c r="L472" s="27"/>
      <c r="M472" s="27"/>
      <c r="N472" s="28">
        <f>2708.16</f>
        <v>2708.16</v>
      </c>
      <c r="O472" s="28"/>
      <c r="P472" s="28"/>
      <c r="Q472" s="27" t="s">
        <v>2032</v>
      </c>
      <c r="R472" s="27"/>
      <c r="S472" s="29" t="s">
        <v>2032</v>
      </c>
      <c r="T472" s="29"/>
      <c r="U472" s="29"/>
      <c r="V472" s="29"/>
      <c r="W472" s="30" t="s">
        <v>2032</v>
      </c>
      <c r="X472" s="29" t="s">
        <v>2032</v>
      </c>
      <c r="Y472" s="29"/>
      <c r="Z472" s="29"/>
      <c r="AA472" s="29"/>
      <c r="AB472" s="27" t="s">
        <v>2144</v>
      </c>
      <c r="AC472" s="27"/>
      <c r="AD472" s="27"/>
      <c r="AE472" s="31">
        <f>2708.16</f>
        <v>2708.16</v>
      </c>
      <c r="AF472" s="31"/>
      <c r="AG472" s="31"/>
    </row>
    <row r="473" spans="1:33" s="1" customFormat="1" ht="18.75" customHeight="1">
      <c r="A473" s="24" t="s">
        <v>3346</v>
      </c>
      <c r="B473" s="25" t="s">
        <v>3347</v>
      </c>
      <c r="C473" s="25"/>
      <c r="D473" s="25"/>
      <c r="E473" s="26" t="s">
        <v>3348</v>
      </c>
      <c r="F473" s="26"/>
      <c r="G473" s="26"/>
      <c r="H473" s="26"/>
      <c r="I473" s="26"/>
      <c r="J473" s="27" t="s">
        <v>2059</v>
      </c>
      <c r="K473" s="27"/>
      <c r="L473" s="27"/>
      <c r="M473" s="27"/>
      <c r="N473" s="28">
        <f>292.24</f>
        <v>292.24</v>
      </c>
      <c r="O473" s="28"/>
      <c r="P473" s="28"/>
      <c r="Q473" s="27" t="s">
        <v>2032</v>
      </c>
      <c r="R473" s="27"/>
      <c r="S473" s="29" t="s">
        <v>2032</v>
      </c>
      <c r="T473" s="29"/>
      <c r="U473" s="29"/>
      <c r="V473" s="29"/>
      <c r="W473" s="30" t="s">
        <v>2032</v>
      </c>
      <c r="X473" s="29" t="s">
        <v>2032</v>
      </c>
      <c r="Y473" s="29"/>
      <c r="Z473" s="29"/>
      <c r="AA473" s="29"/>
      <c r="AB473" s="27" t="s">
        <v>2059</v>
      </c>
      <c r="AC473" s="27"/>
      <c r="AD473" s="27"/>
      <c r="AE473" s="31">
        <f>292.24</f>
        <v>292.24</v>
      </c>
      <c r="AF473" s="31"/>
      <c r="AG473" s="31"/>
    </row>
    <row r="474" spans="1:33" s="1" customFormat="1" ht="18.75" customHeight="1">
      <c r="A474" s="24" t="s">
        <v>3349</v>
      </c>
      <c r="B474" s="25" t="s">
        <v>3350</v>
      </c>
      <c r="C474" s="25"/>
      <c r="D474" s="25"/>
      <c r="E474" s="26" t="s">
        <v>3351</v>
      </c>
      <c r="F474" s="26"/>
      <c r="G474" s="26"/>
      <c r="H474" s="26"/>
      <c r="I474" s="26"/>
      <c r="J474" s="27" t="s">
        <v>2056</v>
      </c>
      <c r="K474" s="27"/>
      <c r="L474" s="27"/>
      <c r="M474" s="27"/>
      <c r="N474" s="28">
        <f>500</f>
        <v>500</v>
      </c>
      <c r="O474" s="28"/>
      <c r="P474" s="28"/>
      <c r="Q474" s="27" t="s">
        <v>2032</v>
      </c>
      <c r="R474" s="27"/>
      <c r="S474" s="29" t="s">
        <v>2032</v>
      </c>
      <c r="T474" s="29"/>
      <c r="U474" s="29"/>
      <c r="V474" s="29"/>
      <c r="W474" s="30" t="s">
        <v>2032</v>
      </c>
      <c r="X474" s="29" t="s">
        <v>2032</v>
      </c>
      <c r="Y474" s="29"/>
      <c r="Z474" s="29"/>
      <c r="AA474" s="29"/>
      <c r="AB474" s="27" t="s">
        <v>2056</v>
      </c>
      <c r="AC474" s="27"/>
      <c r="AD474" s="27"/>
      <c r="AE474" s="31">
        <f>500</f>
        <v>500</v>
      </c>
      <c r="AF474" s="31"/>
      <c r="AG474" s="31"/>
    </row>
    <row r="475" spans="1:33" s="1" customFormat="1" ht="18.75" customHeight="1">
      <c r="A475" s="24" t="s">
        <v>3352</v>
      </c>
      <c r="B475" s="25" t="s">
        <v>3353</v>
      </c>
      <c r="C475" s="25"/>
      <c r="D475" s="25"/>
      <c r="E475" s="26" t="s">
        <v>3354</v>
      </c>
      <c r="F475" s="26"/>
      <c r="G475" s="26"/>
      <c r="H475" s="26"/>
      <c r="I475" s="26"/>
      <c r="J475" s="27" t="s">
        <v>2057</v>
      </c>
      <c r="K475" s="27"/>
      <c r="L475" s="27"/>
      <c r="M475" s="27"/>
      <c r="N475" s="28">
        <f>494.7</f>
        <v>494.7</v>
      </c>
      <c r="O475" s="28"/>
      <c r="P475" s="28"/>
      <c r="Q475" s="27" t="s">
        <v>2032</v>
      </c>
      <c r="R475" s="27"/>
      <c r="S475" s="29" t="s">
        <v>2032</v>
      </c>
      <c r="T475" s="29"/>
      <c r="U475" s="29"/>
      <c r="V475" s="29"/>
      <c r="W475" s="30" t="s">
        <v>2032</v>
      </c>
      <c r="X475" s="29" t="s">
        <v>2032</v>
      </c>
      <c r="Y475" s="29"/>
      <c r="Z475" s="29"/>
      <c r="AA475" s="29"/>
      <c r="AB475" s="27" t="s">
        <v>2057</v>
      </c>
      <c r="AC475" s="27"/>
      <c r="AD475" s="27"/>
      <c r="AE475" s="31">
        <f>494.7</f>
        <v>494.7</v>
      </c>
      <c r="AF475" s="31"/>
      <c r="AG475" s="31"/>
    </row>
    <row r="476" spans="1:33" s="1" customFormat="1" ht="18.75" customHeight="1">
      <c r="A476" s="24" t="s">
        <v>3355</v>
      </c>
      <c r="B476" s="25" t="s">
        <v>3356</v>
      </c>
      <c r="C476" s="25"/>
      <c r="D476" s="25"/>
      <c r="E476" s="26" t="s">
        <v>3357</v>
      </c>
      <c r="F476" s="26"/>
      <c r="G476" s="26"/>
      <c r="H476" s="26"/>
      <c r="I476" s="26"/>
      <c r="J476" s="27" t="s">
        <v>2057</v>
      </c>
      <c r="K476" s="27"/>
      <c r="L476" s="27"/>
      <c r="M476" s="27"/>
      <c r="N476" s="28">
        <f>700</f>
        <v>700</v>
      </c>
      <c r="O476" s="28"/>
      <c r="P476" s="28"/>
      <c r="Q476" s="27" t="s">
        <v>2032</v>
      </c>
      <c r="R476" s="27"/>
      <c r="S476" s="29" t="s">
        <v>2032</v>
      </c>
      <c r="T476" s="29"/>
      <c r="U476" s="29"/>
      <c r="V476" s="29"/>
      <c r="W476" s="30" t="s">
        <v>2032</v>
      </c>
      <c r="X476" s="29" t="s">
        <v>2032</v>
      </c>
      <c r="Y476" s="29"/>
      <c r="Z476" s="29"/>
      <c r="AA476" s="29"/>
      <c r="AB476" s="27" t="s">
        <v>2057</v>
      </c>
      <c r="AC476" s="27"/>
      <c r="AD476" s="27"/>
      <c r="AE476" s="31">
        <f>700</f>
        <v>700</v>
      </c>
      <c r="AF476" s="31"/>
      <c r="AG476" s="31"/>
    </row>
    <row r="477" spans="1:33" s="1" customFormat="1" ht="18.75" customHeight="1">
      <c r="A477" s="24" t="s">
        <v>3358</v>
      </c>
      <c r="B477" s="25" t="s">
        <v>3359</v>
      </c>
      <c r="C477" s="25"/>
      <c r="D477" s="25"/>
      <c r="E477" s="26" t="s">
        <v>3360</v>
      </c>
      <c r="F477" s="26"/>
      <c r="G477" s="26"/>
      <c r="H477" s="26"/>
      <c r="I477" s="26"/>
      <c r="J477" s="27" t="s">
        <v>2056</v>
      </c>
      <c r="K477" s="27"/>
      <c r="L477" s="27"/>
      <c r="M477" s="27"/>
      <c r="N477" s="28">
        <f>350</f>
        <v>350</v>
      </c>
      <c r="O477" s="28"/>
      <c r="P477" s="28"/>
      <c r="Q477" s="27" t="s">
        <v>2032</v>
      </c>
      <c r="R477" s="27"/>
      <c r="S477" s="29" t="s">
        <v>2032</v>
      </c>
      <c r="T477" s="29"/>
      <c r="U477" s="29"/>
      <c r="V477" s="29"/>
      <c r="W477" s="30" t="s">
        <v>2032</v>
      </c>
      <c r="X477" s="29" t="s">
        <v>2032</v>
      </c>
      <c r="Y477" s="29"/>
      <c r="Z477" s="29"/>
      <c r="AA477" s="29"/>
      <c r="AB477" s="27" t="s">
        <v>2056</v>
      </c>
      <c r="AC477" s="27"/>
      <c r="AD477" s="27"/>
      <c r="AE477" s="31">
        <f>350</f>
        <v>350</v>
      </c>
      <c r="AF477" s="31"/>
      <c r="AG477" s="31"/>
    </row>
    <row r="478" spans="1:33" s="1" customFormat="1" ht="33" customHeight="1">
      <c r="A478" s="24" t="s">
        <v>3361</v>
      </c>
      <c r="B478" s="25" t="s">
        <v>3362</v>
      </c>
      <c r="C478" s="25"/>
      <c r="D478" s="25"/>
      <c r="E478" s="26" t="s">
        <v>3363</v>
      </c>
      <c r="F478" s="26"/>
      <c r="G478" s="26"/>
      <c r="H478" s="26"/>
      <c r="I478" s="26"/>
      <c r="J478" s="27" t="s">
        <v>2056</v>
      </c>
      <c r="K478" s="27"/>
      <c r="L478" s="27"/>
      <c r="M478" s="27"/>
      <c r="N478" s="28">
        <f>2649.6</f>
        <v>2649.6</v>
      </c>
      <c r="O478" s="28"/>
      <c r="P478" s="28"/>
      <c r="Q478" s="27" t="s">
        <v>2032</v>
      </c>
      <c r="R478" s="27"/>
      <c r="S478" s="29" t="s">
        <v>2032</v>
      </c>
      <c r="T478" s="29"/>
      <c r="U478" s="29"/>
      <c r="V478" s="29"/>
      <c r="W478" s="30" t="s">
        <v>2032</v>
      </c>
      <c r="X478" s="29" t="s">
        <v>2032</v>
      </c>
      <c r="Y478" s="29"/>
      <c r="Z478" s="29"/>
      <c r="AA478" s="29"/>
      <c r="AB478" s="27" t="s">
        <v>2056</v>
      </c>
      <c r="AC478" s="27"/>
      <c r="AD478" s="27"/>
      <c r="AE478" s="31">
        <f>2649.6</f>
        <v>2649.6</v>
      </c>
      <c r="AF478" s="31"/>
      <c r="AG478" s="31"/>
    </row>
    <row r="479" spans="1:33" s="1" customFormat="1" ht="33" customHeight="1">
      <c r="A479" s="24" t="s">
        <v>3364</v>
      </c>
      <c r="B479" s="25" t="s">
        <v>3365</v>
      </c>
      <c r="C479" s="25"/>
      <c r="D479" s="25"/>
      <c r="E479" s="26" t="s">
        <v>3366</v>
      </c>
      <c r="F479" s="26"/>
      <c r="G479" s="26"/>
      <c r="H479" s="26"/>
      <c r="I479" s="26"/>
      <c r="J479" s="27" t="s">
        <v>2056</v>
      </c>
      <c r="K479" s="27"/>
      <c r="L479" s="27"/>
      <c r="M479" s="27"/>
      <c r="N479" s="28">
        <f>1043.12</f>
        <v>1043.12</v>
      </c>
      <c r="O479" s="28"/>
      <c r="P479" s="28"/>
      <c r="Q479" s="27" t="s">
        <v>2032</v>
      </c>
      <c r="R479" s="27"/>
      <c r="S479" s="29" t="s">
        <v>2032</v>
      </c>
      <c r="T479" s="29"/>
      <c r="U479" s="29"/>
      <c r="V479" s="29"/>
      <c r="W479" s="30" t="s">
        <v>2032</v>
      </c>
      <c r="X479" s="29" t="s">
        <v>2032</v>
      </c>
      <c r="Y479" s="29"/>
      <c r="Z479" s="29"/>
      <c r="AA479" s="29"/>
      <c r="AB479" s="27" t="s">
        <v>2056</v>
      </c>
      <c r="AC479" s="27"/>
      <c r="AD479" s="27"/>
      <c r="AE479" s="31">
        <f>1043.12</f>
        <v>1043.12</v>
      </c>
      <c r="AF479" s="31"/>
      <c r="AG479" s="31"/>
    </row>
    <row r="480" spans="1:33" s="1" customFormat="1" ht="33" customHeight="1">
      <c r="A480" s="24" t="s">
        <v>3367</v>
      </c>
      <c r="B480" s="25" t="s">
        <v>3368</v>
      </c>
      <c r="C480" s="25"/>
      <c r="D480" s="25"/>
      <c r="E480" s="26" t="s">
        <v>3369</v>
      </c>
      <c r="F480" s="26"/>
      <c r="G480" s="26"/>
      <c r="H480" s="26"/>
      <c r="I480" s="26"/>
      <c r="J480" s="27" t="s">
        <v>2056</v>
      </c>
      <c r="K480" s="27"/>
      <c r="L480" s="27"/>
      <c r="M480" s="27"/>
      <c r="N480" s="28">
        <f>1320.42</f>
        <v>1320.42</v>
      </c>
      <c r="O480" s="28"/>
      <c r="P480" s="28"/>
      <c r="Q480" s="27" t="s">
        <v>2032</v>
      </c>
      <c r="R480" s="27"/>
      <c r="S480" s="29" t="s">
        <v>2032</v>
      </c>
      <c r="T480" s="29"/>
      <c r="U480" s="29"/>
      <c r="V480" s="29"/>
      <c r="W480" s="30" t="s">
        <v>2032</v>
      </c>
      <c r="X480" s="29" t="s">
        <v>2032</v>
      </c>
      <c r="Y480" s="29"/>
      <c r="Z480" s="29"/>
      <c r="AA480" s="29"/>
      <c r="AB480" s="27" t="s">
        <v>2056</v>
      </c>
      <c r="AC480" s="27"/>
      <c r="AD480" s="27"/>
      <c r="AE480" s="31">
        <f>1320.42</f>
        <v>1320.42</v>
      </c>
      <c r="AF480" s="31"/>
      <c r="AG480" s="31"/>
    </row>
    <row r="481" spans="1:33" s="1" customFormat="1" ht="18.75" customHeight="1">
      <c r="A481" s="24" t="s">
        <v>3370</v>
      </c>
      <c r="B481" s="25" t="s">
        <v>3371</v>
      </c>
      <c r="C481" s="25"/>
      <c r="D481" s="25"/>
      <c r="E481" s="26" t="s">
        <v>3372</v>
      </c>
      <c r="F481" s="26"/>
      <c r="G481" s="26"/>
      <c r="H481" s="26"/>
      <c r="I481" s="26"/>
      <c r="J481" s="27" t="s">
        <v>2056</v>
      </c>
      <c r="K481" s="27"/>
      <c r="L481" s="27"/>
      <c r="M481" s="27"/>
      <c r="N481" s="28">
        <f>1320.42</f>
        <v>1320.42</v>
      </c>
      <c r="O481" s="28"/>
      <c r="P481" s="28"/>
      <c r="Q481" s="27" t="s">
        <v>2032</v>
      </c>
      <c r="R481" s="27"/>
      <c r="S481" s="29" t="s">
        <v>2032</v>
      </c>
      <c r="T481" s="29"/>
      <c r="U481" s="29"/>
      <c r="V481" s="29"/>
      <c r="W481" s="30" t="s">
        <v>2032</v>
      </c>
      <c r="X481" s="29" t="s">
        <v>2032</v>
      </c>
      <c r="Y481" s="29"/>
      <c r="Z481" s="29"/>
      <c r="AA481" s="29"/>
      <c r="AB481" s="27" t="s">
        <v>2056</v>
      </c>
      <c r="AC481" s="27"/>
      <c r="AD481" s="27"/>
      <c r="AE481" s="31">
        <f>1320.42</f>
        <v>1320.42</v>
      </c>
      <c r="AF481" s="31"/>
      <c r="AG481" s="31"/>
    </row>
    <row r="482" spans="1:33" s="1" customFormat="1" ht="33" customHeight="1">
      <c r="A482" s="24" t="s">
        <v>3373</v>
      </c>
      <c r="B482" s="25" t="s">
        <v>3374</v>
      </c>
      <c r="C482" s="25"/>
      <c r="D482" s="25"/>
      <c r="E482" s="26" t="s">
        <v>3375</v>
      </c>
      <c r="F482" s="26"/>
      <c r="G482" s="26"/>
      <c r="H482" s="26"/>
      <c r="I482" s="26"/>
      <c r="J482" s="27" t="s">
        <v>2056</v>
      </c>
      <c r="K482" s="27"/>
      <c r="L482" s="27"/>
      <c r="M482" s="27"/>
      <c r="N482" s="28">
        <f>1320.42</f>
        <v>1320.42</v>
      </c>
      <c r="O482" s="28"/>
      <c r="P482" s="28"/>
      <c r="Q482" s="27" t="s">
        <v>2032</v>
      </c>
      <c r="R482" s="27"/>
      <c r="S482" s="29" t="s">
        <v>2032</v>
      </c>
      <c r="T482" s="29"/>
      <c r="U482" s="29"/>
      <c r="V482" s="29"/>
      <c r="W482" s="30" t="s">
        <v>2032</v>
      </c>
      <c r="X482" s="29" t="s">
        <v>2032</v>
      </c>
      <c r="Y482" s="29"/>
      <c r="Z482" s="29"/>
      <c r="AA482" s="29"/>
      <c r="AB482" s="27" t="s">
        <v>2056</v>
      </c>
      <c r="AC482" s="27"/>
      <c r="AD482" s="27"/>
      <c r="AE482" s="31">
        <f>1320.42</f>
        <v>1320.42</v>
      </c>
      <c r="AF482" s="31"/>
      <c r="AG482" s="31"/>
    </row>
    <row r="483" spans="1:33" s="1" customFormat="1" ht="33" customHeight="1">
      <c r="A483" s="24" t="s">
        <v>3376</v>
      </c>
      <c r="B483" s="25" t="s">
        <v>3377</v>
      </c>
      <c r="C483" s="25"/>
      <c r="D483" s="25"/>
      <c r="E483" s="26" t="s">
        <v>3378</v>
      </c>
      <c r="F483" s="26"/>
      <c r="G483" s="26"/>
      <c r="H483" s="26"/>
      <c r="I483" s="26"/>
      <c r="J483" s="27" t="s">
        <v>2056</v>
      </c>
      <c r="K483" s="27"/>
      <c r="L483" s="27"/>
      <c r="M483" s="27"/>
      <c r="N483" s="28">
        <f>1056.1</f>
        <v>1056.1</v>
      </c>
      <c r="O483" s="28"/>
      <c r="P483" s="28"/>
      <c r="Q483" s="27" t="s">
        <v>2032</v>
      </c>
      <c r="R483" s="27"/>
      <c r="S483" s="29" t="s">
        <v>2032</v>
      </c>
      <c r="T483" s="29"/>
      <c r="U483" s="29"/>
      <c r="V483" s="29"/>
      <c r="W483" s="30" t="s">
        <v>2032</v>
      </c>
      <c r="X483" s="29" t="s">
        <v>2032</v>
      </c>
      <c r="Y483" s="29"/>
      <c r="Z483" s="29"/>
      <c r="AA483" s="29"/>
      <c r="AB483" s="27" t="s">
        <v>2056</v>
      </c>
      <c r="AC483" s="27"/>
      <c r="AD483" s="27"/>
      <c r="AE483" s="31">
        <f>1056.1</f>
        <v>1056.1</v>
      </c>
      <c r="AF483" s="31"/>
      <c r="AG483" s="31"/>
    </row>
    <row r="484" spans="1:33" s="1" customFormat="1" ht="18.75" customHeight="1">
      <c r="A484" s="24" t="s">
        <v>3379</v>
      </c>
      <c r="B484" s="25" t="s">
        <v>3380</v>
      </c>
      <c r="C484" s="25"/>
      <c r="D484" s="25"/>
      <c r="E484" s="26" t="s">
        <v>3381</v>
      </c>
      <c r="F484" s="26"/>
      <c r="G484" s="26"/>
      <c r="H484" s="26"/>
      <c r="I484" s="26"/>
      <c r="J484" s="27" t="s">
        <v>2056</v>
      </c>
      <c r="K484" s="27"/>
      <c r="L484" s="27"/>
      <c r="M484" s="27"/>
      <c r="N484" s="28">
        <f>146.13</f>
        <v>146.13</v>
      </c>
      <c r="O484" s="28"/>
      <c r="P484" s="28"/>
      <c r="Q484" s="27" t="s">
        <v>2032</v>
      </c>
      <c r="R484" s="27"/>
      <c r="S484" s="29" t="s">
        <v>2032</v>
      </c>
      <c r="T484" s="29"/>
      <c r="U484" s="29"/>
      <c r="V484" s="29"/>
      <c r="W484" s="30" t="s">
        <v>2032</v>
      </c>
      <c r="X484" s="29" t="s">
        <v>2032</v>
      </c>
      <c r="Y484" s="29"/>
      <c r="Z484" s="29"/>
      <c r="AA484" s="29"/>
      <c r="AB484" s="27" t="s">
        <v>2056</v>
      </c>
      <c r="AC484" s="27"/>
      <c r="AD484" s="27"/>
      <c r="AE484" s="31">
        <f>146.13</f>
        <v>146.13</v>
      </c>
      <c r="AF484" s="31"/>
      <c r="AG484" s="31"/>
    </row>
    <row r="485" spans="1:33" s="1" customFormat="1" ht="33" customHeight="1">
      <c r="A485" s="24" t="s">
        <v>3382</v>
      </c>
      <c r="B485" s="25" t="s">
        <v>3383</v>
      </c>
      <c r="C485" s="25"/>
      <c r="D485" s="25"/>
      <c r="E485" s="26" t="s">
        <v>3384</v>
      </c>
      <c r="F485" s="26"/>
      <c r="G485" s="26"/>
      <c r="H485" s="26"/>
      <c r="I485" s="26"/>
      <c r="J485" s="27" t="s">
        <v>2093</v>
      </c>
      <c r="K485" s="27"/>
      <c r="L485" s="27"/>
      <c r="M485" s="27"/>
      <c r="N485" s="28">
        <f>1806.11</f>
        <v>1806.11</v>
      </c>
      <c r="O485" s="28"/>
      <c r="P485" s="28"/>
      <c r="Q485" s="27" t="s">
        <v>2032</v>
      </c>
      <c r="R485" s="27"/>
      <c r="S485" s="29" t="s">
        <v>2032</v>
      </c>
      <c r="T485" s="29"/>
      <c r="U485" s="29"/>
      <c r="V485" s="29"/>
      <c r="W485" s="30" t="s">
        <v>2032</v>
      </c>
      <c r="X485" s="29" t="s">
        <v>2032</v>
      </c>
      <c r="Y485" s="29"/>
      <c r="Z485" s="29"/>
      <c r="AA485" s="29"/>
      <c r="AB485" s="27" t="s">
        <v>2093</v>
      </c>
      <c r="AC485" s="27"/>
      <c r="AD485" s="27"/>
      <c r="AE485" s="31">
        <f>1806.11</f>
        <v>1806.11</v>
      </c>
      <c r="AF485" s="31"/>
      <c r="AG485" s="31"/>
    </row>
    <row r="486" spans="1:33" s="1" customFormat="1" ht="33" customHeight="1">
      <c r="A486" s="24" t="s">
        <v>3385</v>
      </c>
      <c r="B486" s="25" t="s">
        <v>3386</v>
      </c>
      <c r="C486" s="25"/>
      <c r="D486" s="25"/>
      <c r="E486" s="26" t="s">
        <v>3387</v>
      </c>
      <c r="F486" s="26"/>
      <c r="G486" s="26"/>
      <c r="H486" s="26"/>
      <c r="I486" s="26"/>
      <c r="J486" s="27" t="s">
        <v>2056</v>
      </c>
      <c r="K486" s="27"/>
      <c r="L486" s="27"/>
      <c r="M486" s="27"/>
      <c r="N486" s="28">
        <f>1583.56</f>
        <v>1583.56</v>
      </c>
      <c r="O486" s="28"/>
      <c r="P486" s="28"/>
      <c r="Q486" s="27" t="s">
        <v>2032</v>
      </c>
      <c r="R486" s="27"/>
      <c r="S486" s="29" t="s">
        <v>2032</v>
      </c>
      <c r="T486" s="29"/>
      <c r="U486" s="29"/>
      <c r="V486" s="29"/>
      <c r="W486" s="30" t="s">
        <v>2032</v>
      </c>
      <c r="X486" s="29" t="s">
        <v>2032</v>
      </c>
      <c r="Y486" s="29"/>
      <c r="Z486" s="29"/>
      <c r="AA486" s="29"/>
      <c r="AB486" s="27" t="s">
        <v>2056</v>
      </c>
      <c r="AC486" s="27"/>
      <c r="AD486" s="27"/>
      <c r="AE486" s="31">
        <f>1583.56</f>
        <v>1583.56</v>
      </c>
      <c r="AF486" s="31"/>
      <c r="AG486" s="31"/>
    </row>
    <row r="487" spans="1:33" s="1" customFormat="1" ht="18.75" customHeight="1">
      <c r="A487" s="24" t="s">
        <v>3388</v>
      </c>
      <c r="B487" s="25" t="s">
        <v>3389</v>
      </c>
      <c r="C487" s="25"/>
      <c r="D487" s="25"/>
      <c r="E487" s="26" t="s">
        <v>3390</v>
      </c>
      <c r="F487" s="26"/>
      <c r="G487" s="26"/>
      <c r="H487" s="26"/>
      <c r="I487" s="26"/>
      <c r="J487" s="27" t="s">
        <v>2065</v>
      </c>
      <c r="K487" s="27"/>
      <c r="L487" s="27"/>
      <c r="M487" s="27"/>
      <c r="N487" s="28">
        <f>896</f>
        <v>896</v>
      </c>
      <c r="O487" s="28"/>
      <c r="P487" s="28"/>
      <c r="Q487" s="27" t="s">
        <v>2032</v>
      </c>
      <c r="R487" s="27"/>
      <c r="S487" s="29" t="s">
        <v>2032</v>
      </c>
      <c r="T487" s="29"/>
      <c r="U487" s="29"/>
      <c r="V487" s="29"/>
      <c r="W487" s="30" t="s">
        <v>2032</v>
      </c>
      <c r="X487" s="29" t="s">
        <v>2032</v>
      </c>
      <c r="Y487" s="29"/>
      <c r="Z487" s="29"/>
      <c r="AA487" s="29"/>
      <c r="AB487" s="27" t="s">
        <v>2065</v>
      </c>
      <c r="AC487" s="27"/>
      <c r="AD487" s="27"/>
      <c r="AE487" s="31">
        <f>896</f>
        <v>896</v>
      </c>
      <c r="AF487" s="31"/>
      <c r="AG487" s="31"/>
    </row>
    <row r="488" spans="1:33" s="1" customFormat="1" ht="18.75" customHeight="1">
      <c r="A488" s="24" t="s">
        <v>3391</v>
      </c>
      <c r="B488" s="25" t="s">
        <v>3392</v>
      </c>
      <c r="C488" s="25"/>
      <c r="D488" s="25"/>
      <c r="E488" s="26" t="s">
        <v>3393</v>
      </c>
      <c r="F488" s="26"/>
      <c r="G488" s="26"/>
      <c r="H488" s="26"/>
      <c r="I488" s="26"/>
      <c r="J488" s="27" t="s">
        <v>2056</v>
      </c>
      <c r="K488" s="27"/>
      <c r="L488" s="27"/>
      <c r="M488" s="27"/>
      <c r="N488" s="28">
        <f>158</f>
        <v>158</v>
      </c>
      <c r="O488" s="28"/>
      <c r="P488" s="28"/>
      <c r="Q488" s="27" t="s">
        <v>2032</v>
      </c>
      <c r="R488" s="27"/>
      <c r="S488" s="29" t="s">
        <v>2032</v>
      </c>
      <c r="T488" s="29"/>
      <c r="U488" s="29"/>
      <c r="V488" s="29"/>
      <c r="W488" s="30" t="s">
        <v>2032</v>
      </c>
      <c r="X488" s="29" t="s">
        <v>2032</v>
      </c>
      <c r="Y488" s="29"/>
      <c r="Z488" s="29"/>
      <c r="AA488" s="29"/>
      <c r="AB488" s="27" t="s">
        <v>2056</v>
      </c>
      <c r="AC488" s="27"/>
      <c r="AD488" s="27"/>
      <c r="AE488" s="31">
        <f>158</f>
        <v>158</v>
      </c>
      <c r="AF488" s="31"/>
      <c r="AG488" s="31"/>
    </row>
    <row r="489" spans="1:33" s="1" customFormat="1" ht="18.75" customHeight="1">
      <c r="A489" s="24" t="s">
        <v>3394</v>
      </c>
      <c r="B489" s="25" t="s">
        <v>3395</v>
      </c>
      <c r="C489" s="25"/>
      <c r="D489" s="25"/>
      <c r="E489" s="26" t="s">
        <v>3396</v>
      </c>
      <c r="F489" s="26"/>
      <c r="G489" s="26"/>
      <c r="H489" s="26"/>
      <c r="I489" s="26"/>
      <c r="J489" s="27" t="s">
        <v>2138</v>
      </c>
      <c r="K489" s="27"/>
      <c r="L489" s="27"/>
      <c r="M489" s="27"/>
      <c r="N489" s="28">
        <f>2340</f>
        <v>2340</v>
      </c>
      <c r="O489" s="28"/>
      <c r="P489" s="28"/>
      <c r="Q489" s="27" t="s">
        <v>2032</v>
      </c>
      <c r="R489" s="27"/>
      <c r="S489" s="29" t="s">
        <v>2032</v>
      </c>
      <c r="T489" s="29"/>
      <c r="U489" s="29"/>
      <c r="V489" s="29"/>
      <c r="W489" s="30" t="s">
        <v>2032</v>
      </c>
      <c r="X489" s="29" t="s">
        <v>2032</v>
      </c>
      <c r="Y489" s="29"/>
      <c r="Z489" s="29"/>
      <c r="AA489" s="29"/>
      <c r="AB489" s="27" t="s">
        <v>2138</v>
      </c>
      <c r="AC489" s="27"/>
      <c r="AD489" s="27"/>
      <c r="AE489" s="31">
        <f>2340</f>
        <v>2340</v>
      </c>
      <c r="AF489" s="31"/>
      <c r="AG489" s="31"/>
    </row>
    <row r="490" spans="1:33" s="1" customFormat="1" ht="18.75" customHeight="1">
      <c r="A490" s="24" t="s">
        <v>3397</v>
      </c>
      <c r="B490" s="25" t="s">
        <v>3398</v>
      </c>
      <c r="C490" s="25"/>
      <c r="D490" s="25"/>
      <c r="E490" s="26" t="s">
        <v>3399</v>
      </c>
      <c r="F490" s="26"/>
      <c r="G490" s="26"/>
      <c r="H490" s="26"/>
      <c r="I490" s="26"/>
      <c r="J490" s="27" t="s">
        <v>2060</v>
      </c>
      <c r="K490" s="27"/>
      <c r="L490" s="27"/>
      <c r="M490" s="27"/>
      <c r="N490" s="28">
        <f>601.8</f>
        <v>601.8</v>
      </c>
      <c r="O490" s="28"/>
      <c r="P490" s="28"/>
      <c r="Q490" s="27" t="s">
        <v>2032</v>
      </c>
      <c r="R490" s="27"/>
      <c r="S490" s="29" t="s">
        <v>2032</v>
      </c>
      <c r="T490" s="29"/>
      <c r="U490" s="29"/>
      <c r="V490" s="29"/>
      <c r="W490" s="30" t="s">
        <v>2032</v>
      </c>
      <c r="X490" s="29" t="s">
        <v>2032</v>
      </c>
      <c r="Y490" s="29"/>
      <c r="Z490" s="29"/>
      <c r="AA490" s="29"/>
      <c r="AB490" s="27" t="s">
        <v>2060</v>
      </c>
      <c r="AC490" s="27"/>
      <c r="AD490" s="27"/>
      <c r="AE490" s="31">
        <f>601.8</f>
        <v>601.8</v>
      </c>
      <c r="AF490" s="31"/>
      <c r="AG490" s="31"/>
    </row>
    <row r="491" spans="1:33" s="1" customFormat="1" ht="33" customHeight="1">
      <c r="A491" s="24" t="s">
        <v>3400</v>
      </c>
      <c r="B491" s="25" t="s">
        <v>3401</v>
      </c>
      <c r="C491" s="25"/>
      <c r="D491" s="25"/>
      <c r="E491" s="26" t="s">
        <v>3402</v>
      </c>
      <c r="F491" s="26"/>
      <c r="G491" s="26"/>
      <c r="H491" s="26"/>
      <c r="I491" s="26"/>
      <c r="J491" s="27" t="s">
        <v>2056</v>
      </c>
      <c r="K491" s="27"/>
      <c r="L491" s="27"/>
      <c r="M491" s="27"/>
      <c r="N491" s="28">
        <f>1162.89</f>
        <v>1162.89</v>
      </c>
      <c r="O491" s="28"/>
      <c r="P491" s="28"/>
      <c r="Q491" s="27" t="s">
        <v>2032</v>
      </c>
      <c r="R491" s="27"/>
      <c r="S491" s="29" t="s">
        <v>2032</v>
      </c>
      <c r="T491" s="29"/>
      <c r="U491" s="29"/>
      <c r="V491" s="29"/>
      <c r="W491" s="30" t="s">
        <v>2032</v>
      </c>
      <c r="X491" s="29" t="s">
        <v>2032</v>
      </c>
      <c r="Y491" s="29"/>
      <c r="Z491" s="29"/>
      <c r="AA491" s="29"/>
      <c r="AB491" s="27" t="s">
        <v>2056</v>
      </c>
      <c r="AC491" s="27"/>
      <c r="AD491" s="27"/>
      <c r="AE491" s="31">
        <f>1162.89</f>
        <v>1162.89</v>
      </c>
      <c r="AF491" s="31"/>
      <c r="AG491" s="31"/>
    </row>
    <row r="492" spans="1:33" s="1" customFormat="1" ht="33" customHeight="1">
      <c r="A492" s="24" t="s">
        <v>3403</v>
      </c>
      <c r="B492" s="25" t="s">
        <v>3404</v>
      </c>
      <c r="C492" s="25"/>
      <c r="D492" s="25"/>
      <c r="E492" s="26" t="s">
        <v>3405</v>
      </c>
      <c r="F492" s="26"/>
      <c r="G492" s="26"/>
      <c r="H492" s="26"/>
      <c r="I492" s="26"/>
      <c r="J492" s="27" t="s">
        <v>2056</v>
      </c>
      <c r="K492" s="27"/>
      <c r="L492" s="27"/>
      <c r="M492" s="27"/>
      <c r="N492" s="28">
        <f>1973</f>
        <v>1973</v>
      </c>
      <c r="O492" s="28"/>
      <c r="P492" s="28"/>
      <c r="Q492" s="27" t="s">
        <v>2032</v>
      </c>
      <c r="R492" s="27"/>
      <c r="S492" s="29" t="s">
        <v>2032</v>
      </c>
      <c r="T492" s="29"/>
      <c r="U492" s="29"/>
      <c r="V492" s="29"/>
      <c r="W492" s="30" t="s">
        <v>2032</v>
      </c>
      <c r="X492" s="29" t="s">
        <v>2032</v>
      </c>
      <c r="Y492" s="29"/>
      <c r="Z492" s="29"/>
      <c r="AA492" s="29"/>
      <c r="AB492" s="27" t="s">
        <v>2056</v>
      </c>
      <c r="AC492" s="27"/>
      <c r="AD492" s="27"/>
      <c r="AE492" s="31">
        <f>1973</f>
        <v>1973</v>
      </c>
      <c r="AF492" s="31"/>
      <c r="AG492" s="31"/>
    </row>
    <row r="493" spans="1:33" s="1" customFormat="1" ht="33" customHeight="1">
      <c r="A493" s="24" t="s">
        <v>3406</v>
      </c>
      <c r="B493" s="25" t="s">
        <v>3407</v>
      </c>
      <c r="C493" s="25"/>
      <c r="D493" s="25"/>
      <c r="E493" s="26" t="s">
        <v>3408</v>
      </c>
      <c r="F493" s="26"/>
      <c r="G493" s="26"/>
      <c r="H493" s="26"/>
      <c r="I493" s="26"/>
      <c r="J493" s="27" t="s">
        <v>2056</v>
      </c>
      <c r="K493" s="27"/>
      <c r="L493" s="27"/>
      <c r="M493" s="27"/>
      <c r="N493" s="28">
        <f>207</f>
        <v>207</v>
      </c>
      <c r="O493" s="28"/>
      <c r="P493" s="28"/>
      <c r="Q493" s="27" t="s">
        <v>2032</v>
      </c>
      <c r="R493" s="27"/>
      <c r="S493" s="29" t="s">
        <v>2032</v>
      </c>
      <c r="T493" s="29"/>
      <c r="U493" s="29"/>
      <c r="V493" s="29"/>
      <c r="W493" s="30" t="s">
        <v>2032</v>
      </c>
      <c r="X493" s="29" t="s">
        <v>2032</v>
      </c>
      <c r="Y493" s="29"/>
      <c r="Z493" s="29"/>
      <c r="AA493" s="29"/>
      <c r="AB493" s="27" t="s">
        <v>2056</v>
      </c>
      <c r="AC493" s="27"/>
      <c r="AD493" s="27"/>
      <c r="AE493" s="31">
        <f>207</f>
        <v>207</v>
      </c>
      <c r="AF493" s="31"/>
      <c r="AG493" s="31"/>
    </row>
    <row r="494" spans="1:33" s="1" customFormat="1" ht="46.5" customHeight="1">
      <c r="A494" s="24" t="s">
        <v>3409</v>
      </c>
      <c r="B494" s="25" t="s">
        <v>3410</v>
      </c>
      <c r="C494" s="25"/>
      <c r="D494" s="25"/>
      <c r="E494" s="26" t="s">
        <v>3411</v>
      </c>
      <c r="F494" s="26"/>
      <c r="G494" s="26"/>
      <c r="H494" s="26"/>
      <c r="I494" s="26"/>
      <c r="J494" s="27" t="s">
        <v>2065</v>
      </c>
      <c r="K494" s="27"/>
      <c r="L494" s="27"/>
      <c r="M494" s="27"/>
      <c r="N494" s="28">
        <f>1300</f>
        <v>1300</v>
      </c>
      <c r="O494" s="28"/>
      <c r="P494" s="28"/>
      <c r="Q494" s="27" t="s">
        <v>2032</v>
      </c>
      <c r="R494" s="27"/>
      <c r="S494" s="29" t="s">
        <v>2032</v>
      </c>
      <c r="T494" s="29"/>
      <c r="U494" s="29"/>
      <c r="V494" s="29"/>
      <c r="W494" s="30" t="s">
        <v>2032</v>
      </c>
      <c r="X494" s="29" t="s">
        <v>2032</v>
      </c>
      <c r="Y494" s="29"/>
      <c r="Z494" s="29"/>
      <c r="AA494" s="29"/>
      <c r="AB494" s="27" t="s">
        <v>2065</v>
      </c>
      <c r="AC494" s="27"/>
      <c r="AD494" s="27"/>
      <c r="AE494" s="31">
        <f>1300</f>
        <v>1300</v>
      </c>
      <c r="AF494" s="31"/>
      <c r="AG494" s="31"/>
    </row>
    <row r="495" spans="1:33" s="1" customFormat="1" ht="33" customHeight="1">
      <c r="A495" s="24" t="s">
        <v>3412</v>
      </c>
      <c r="B495" s="25" t="s">
        <v>3413</v>
      </c>
      <c r="C495" s="25"/>
      <c r="D495" s="25"/>
      <c r="E495" s="26" t="s">
        <v>3414</v>
      </c>
      <c r="F495" s="26"/>
      <c r="G495" s="26"/>
      <c r="H495" s="26"/>
      <c r="I495" s="26"/>
      <c r="J495" s="27" t="s">
        <v>2056</v>
      </c>
      <c r="K495" s="27"/>
      <c r="L495" s="27"/>
      <c r="M495" s="27"/>
      <c r="N495" s="28">
        <f>1280</f>
        <v>1280</v>
      </c>
      <c r="O495" s="28"/>
      <c r="P495" s="28"/>
      <c r="Q495" s="27" t="s">
        <v>2032</v>
      </c>
      <c r="R495" s="27"/>
      <c r="S495" s="29" t="s">
        <v>2032</v>
      </c>
      <c r="T495" s="29"/>
      <c r="U495" s="29"/>
      <c r="V495" s="29"/>
      <c r="W495" s="30" t="s">
        <v>2032</v>
      </c>
      <c r="X495" s="29" t="s">
        <v>2032</v>
      </c>
      <c r="Y495" s="29"/>
      <c r="Z495" s="29"/>
      <c r="AA495" s="29"/>
      <c r="AB495" s="27" t="s">
        <v>2056</v>
      </c>
      <c r="AC495" s="27"/>
      <c r="AD495" s="27"/>
      <c r="AE495" s="31">
        <f>1280</f>
        <v>1280</v>
      </c>
      <c r="AF495" s="31"/>
      <c r="AG495" s="31"/>
    </row>
    <row r="496" spans="1:33" s="1" customFormat="1" ht="33" customHeight="1">
      <c r="A496" s="24" t="s">
        <v>3415</v>
      </c>
      <c r="B496" s="25" t="s">
        <v>3416</v>
      </c>
      <c r="C496" s="25"/>
      <c r="D496" s="25"/>
      <c r="E496" s="26" t="s">
        <v>3417</v>
      </c>
      <c r="F496" s="26"/>
      <c r="G496" s="26"/>
      <c r="H496" s="26"/>
      <c r="I496" s="26"/>
      <c r="J496" s="27" t="s">
        <v>2231</v>
      </c>
      <c r="K496" s="27"/>
      <c r="L496" s="27"/>
      <c r="M496" s="27"/>
      <c r="N496" s="28">
        <f>25180.06</f>
        <v>25180.06</v>
      </c>
      <c r="O496" s="28"/>
      <c r="P496" s="28"/>
      <c r="Q496" s="27" t="s">
        <v>2032</v>
      </c>
      <c r="R496" s="27"/>
      <c r="S496" s="29" t="s">
        <v>2032</v>
      </c>
      <c r="T496" s="29"/>
      <c r="U496" s="29"/>
      <c r="V496" s="29"/>
      <c r="W496" s="30" t="s">
        <v>2032</v>
      </c>
      <c r="X496" s="29" t="s">
        <v>2032</v>
      </c>
      <c r="Y496" s="29"/>
      <c r="Z496" s="29"/>
      <c r="AA496" s="29"/>
      <c r="AB496" s="27" t="s">
        <v>2231</v>
      </c>
      <c r="AC496" s="27"/>
      <c r="AD496" s="27"/>
      <c r="AE496" s="31">
        <f>25180.06</f>
        <v>25180.06</v>
      </c>
      <c r="AF496" s="31"/>
      <c r="AG496" s="31"/>
    </row>
    <row r="497" spans="1:33" s="1" customFormat="1" ht="33" customHeight="1">
      <c r="A497" s="24" t="s">
        <v>3418</v>
      </c>
      <c r="B497" s="25" t="s">
        <v>3419</v>
      </c>
      <c r="C497" s="25"/>
      <c r="D497" s="25"/>
      <c r="E497" s="26" t="s">
        <v>3420</v>
      </c>
      <c r="F497" s="26"/>
      <c r="G497" s="26"/>
      <c r="H497" s="26"/>
      <c r="I497" s="26"/>
      <c r="J497" s="27" t="s">
        <v>2056</v>
      </c>
      <c r="K497" s="27"/>
      <c r="L497" s="27"/>
      <c r="M497" s="27"/>
      <c r="N497" s="28">
        <f>768</f>
        <v>768</v>
      </c>
      <c r="O497" s="28"/>
      <c r="P497" s="28"/>
      <c r="Q497" s="27" t="s">
        <v>2032</v>
      </c>
      <c r="R497" s="27"/>
      <c r="S497" s="29" t="s">
        <v>2032</v>
      </c>
      <c r="T497" s="29"/>
      <c r="U497" s="29"/>
      <c r="V497" s="29"/>
      <c r="W497" s="30" t="s">
        <v>2032</v>
      </c>
      <c r="X497" s="29" t="s">
        <v>2032</v>
      </c>
      <c r="Y497" s="29"/>
      <c r="Z497" s="29"/>
      <c r="AA497" s="29"/>
      <c r="AB497" s="27" t="s">
        <v>2056</v>
      </c>
      <c r="AC497" s="27"/>
      <c r="AD497" s="27"/>
      <c r="AE497" s="31">
        <f>768</f>
        <v>768</v>
      </c>
      <c r="AF497" s="31"/>
      <c r="AG497" s="31"/>
    </row>
    <row r="498" spans="1:33" s="1" customFormat="1" ht="33" customHeight="1">
      <c r="A498" s="24" t="s">
        <v>3421</v>
      </c>
      <c r="B498" s="25" t="s">
        <v>3422</v>
      </c>
      <c r="C498" s="25"/>
      <c r="D498" s="25"/>
      <c r="E498" s="26" t="s">
        <v>3423</v>
      </c>
      <c r="F498" s="26"/>
      <c r="G498" s="26"/>
      <c r="H498" s="26"/>
      <c r="I498" s="26"/>
      <c r="J498" s="27" t="s">
        <v>2060</v>
      </c>
      <c r="K498" s="27"/>
      <c r="L498" s="27"/>
      <c r="M498" s="27"/>
      <c r="N498" s="28">
        <f>1092</f>
        <v>1092</v>
      </c>
      <c r="O498" s="28"/>
      <c r="P498" s="28"/>
      <c r="Q498" s="27" t="s">
        <v>2032</v>
      </c>
      <c r="R498" s="27"/>
      <c r="S498" s="29" t="s">
        <v>2032</v>
      </c>
      <c r="T498" s="29"/>
      <c r="U498" s="29"/>
      <c r="V498" s="29"/>
      <c r="W498" s="30" t="s">
        <v>2032</v>
      </c>
      <c r="X498" s="29" t="s">
        <v>2032</v>
      </c>
      <c r="Y498" s="29"/>
      <c r="Z498" s="29"/>
      <c r="AA498" s="29"/>
      <c r="AB498" s="27" t="s">
        <v>2060</v>
      </c>
      <c r="AC498" s="27"/>
      <c r="AD498" s="27"/>
      <c r="AE498" s="31">
        <f>1092</f>
        <v>1092</v>
      </c>
      <c r="AF498" s="31"/>
      <c r="AG498" s="31"/>
    </row>
    <row r="499" spans="1:33" s="1" customFormat="1" ht="61.5" customHeight="1">
      <c r="A499" s="24" t="s">
        <v>3424</v>
      </c>
      <c r="B499" s="25" t="s">
        <v>3425</v>
      </c>
      <c r="C499" s="25"/>
      <c r="D499" s="25"/>
      <c r="E499" s="26" t="s">
        <v>3426</v>
      </c>
      <c r="F499" s="26"/>
      <c r="G499" s="26"/>
      <c r="H499" s="26"/>
      <c r="I499" s="26"/>
      <c r="J499" s="27" t="s">
        <v>2056</v>
      </c>
      <c r="K499" s="27"/>
      <c r="L499" s="27"/>
      <c r="M499" s="27"/>
      <c r="N499" s="28">
        <f>899.51</f>
        <v>899.51</v>
      </c>
      <c r="O499" s="28"/>
      <c r="P499" s="28"/>
      <c r="Q499" s="27" t="s">
        <v>2032</v>
      </c>
      <c r="R499" s="27"/>
      <c r="S499" s="29" t="s">
        <v>2032</v>
      </c>
      <c r="T499" s="29"/>
      <c r="U499" s="29"/>
      <c r="V499" s="29"/>
      <c r="W499" s="30" t="s">
        <v>2032</v>
      </c>
      <c r="X499" s="29" t="s">
        <v>2032</v>
      </c>
      <c r="Y499" s="29"/>
      <c r="Z499" s="29"/>
      <c r="AA499" s="29"/>
      <c r="AB499" s="27" t="s">
        <v>2056</v>
      </c>
      <c r="AC499" s="27"/>
      <c r="AD499" s="27"/>
      <c r="AE499" s="31">
        <f>899.51</f>
        <v>899.51</v>
      </c>
      <c r="AF499" s="31"/>
      <c r="AG499" s="31"/>
    </row>
    <row r="500" spans="1:33" s="1" customFormat="1" ht="61.5" customHeight="1">
      <c r="A500" s="24" t="s">
        <v>3427</v>
      </c>
      <c r="B500" s="25" t="s">
        <v>3428</v>
      </c>
      <c r="C500" s="25"/>
      <c r="D500" s="25"/>
      <c r="E500" s="26" t="s">
        <v>3429</v>
      </c>
      <c r="F500" s="26"/>
      <c r="G500" s="26"/>
      <c r="H500" s="26"/>
      <c r="I500" s="26"/>
      <c r="J500" s="27" t="s">
        <v>2056</v>
      </c>
      <c r="K500" s="27"/>
      <c r="L500" s="27"/>
      <c r="M500" s="27"/>
      <c r="N500" s="28">
        <f>899.51</f>
        <v>899.51</v>
      </c>
      <c r="O500" s="28"/>
      <c r="P500" s="28"/>
      <c r="Q500" s="27" t="s">
        <v>2032</v>
      </c>
      <c r="R500" s="27"/>
      <c r="S500" s="29" t="s">
        <v>2032</v>
      </c>
      <c r="T500" s="29"/>
      <c r="U500" s="29"/>
      <c r="V500" s="29"/>
      <c r="W500" s="30" t="s">
        <v>2032</v>
      </c>
      <c r="X500" s="29" t="s">
        <v>2032</v>
      </c>
      <c r="Y500" s="29"/>
      <c r="Z500" s="29"/>
      <c r="AA500" s="29"/>
      <c r="AB500" s="27" t="s">
        <v>2056</v>
      </c>
      <c r="AC500" s="27"/>
      <c r="AD500" s="27"/>
      <c r="AE500" s="31">
        <f>899.51</f>
        <v>899.51</v>
      </c>
      <c r="AF500" s="31"/>
      <c r="AG500" s="31"/>
    </row>
    <row r="501" spans="1:33" s="1" customFormat="1" ht="61.5" customHeight="1">
      <c r="A501" s="24" t="s">
        <v>3430</v>
      </c>
      <c r="B501" s="25" t="s">
        <v>3431</v>
      </c>
      <c r="C501" s="25"/>
      <c r="D501" s="25"/>
      <c r="E501" s="26" t="s">
        <v>3432</v>
      </c>
      <c r="F501" s="26"/>
      <c r="G501" s="26"/>
      <c r="H501" s="26"/>
      <c r="I501" s="26"/>
      <c r="J501" s="27" t="s">
        <v>2056</v>
      </c>
      <c r="K501" s="27"/>
      <c r="L501" s="27"/>
      <c r="M501" s="27"/>
      <c r="N501" s="28">
        <f>802.87</f>
        <v>802.87</v>
      </c>
      <c r="O501" s="28"/>
      <c r="P501" s="28"/>
      <c r="Q501" s="27" t="s">
        <v>2032</v>
      </c>
      <c r="R501" s="27"/>
      <c r="S501" s="29" t="s">
        <v>2032</v>
      </c>
      <c r="T501" s="29"/>
      <c r="U501" s="29"/>
      <c r="V501" s="29"/>
      <c r="W501" s="30" t="s">
        <v>2032</v>
      </c>
      <c r="X501" s="29" t="s">
        <v>2032</v>
      </c>
      <c r="Y501" s="29"/>
      <c r="Z501" s="29"/>
      <c r="AA501" s="29"/>
      <c r="AB501" s="27" t="s">
        <v>2056</v>
      </c>
      <c r="AC501" s="27"/>
      <c r="AD501" s="27"/>
      <c r="AE501" s="31">
        <f>802.87</f>
        <v>802.87</v>
      </c>
      <c r="AF501" s="31"/>
      <c r="AG501" s="31"/>
    </row>
    <row r="502" spans="1:33" s="1" customFormat="1" ht="46.5" customHeight="1">
      <c r="A502" s="24" t="s">
        <v>3433</v>
      </c>
      <c r="B502" s="25" t="s">
        <v>3434</v>
      </c>
      <c r="C502" s="25"/>
      <c r="D502" s="25"/>
      <c r="E502" s="26" t="s">
        <v>3435</v>
      </c>
      <c r="F502" s="26"/>
      <c r="G502" s="26"/>
      <c r="H502" s="26"/>
      <c r="I502" s="26"/>
      <c r="J502" s="27" t="s">
        <v>2056</v>
      </c>
      <c r="K502" s="27"/>
      <c r="L502" s="27"/>
      <c r="M502" s="27"/>
      <c r="N502" s="28">
        <f>510.47</f>
        <v>510.47</v>
      </c>
      <c r="O502" s="28"/>
      <c r="P502" s="28"/>
      <c r="Q502" s="27" t="s">
        <v>2032</v>
      </c>
      <c r="R502" s="27"/>
      <c r="S502" s="29" t="s">
        <v>2032</v>
      </c>
      <c r="T502" s="29"/>
      <c r="U502" s="29"/>
      <c r="V502" s="29"/>
      <c r="W502" s="30" t="s">
        <v>2032</v>
      </c>
      <c r="X502" s="29" t="s">
        <v>2032</v>
      </c>
      <c r="Y502" s="29"/>
      <c r="Z502" s="29"/>
      <c r="AA502" s="29"/>
      <c r="AB502" s="27" t="s">
        <v>2056</v>
      </c>
      <c r="AC502" s="27"/>
      <c r="AD502" s="27"/>
      <c r="AE502" s="31">
        <f>510.47</f>
        <v>510.47</v>
      </c>
      <c r="AF502" s="31"/>
      <c r="AG502" s="31"/>
    </row>
    <row r="503" spans="1:33" s="1" customFormat="1" ht="46.5" customHeight="1">
      <c r="A503" s="24" t="s">
        <v>3436</v>
      </c>
      <c r="B503" s="25" t="s">
        <v>3437</v>
      </c>
      <c r="C503" s="25"/>
      <c r="D503" s="25"/>
      <c r="E503" s="26" t="s">
        <v>3438</v>
      </c>
      <c r="F503" s="26"/>
      <c r="G503" s="26"/>
      <c r="H503" s="26"/>
      <c r="I503" s="26"/>
      <c r="J503" s="27" t="s">
        <v>2056</v>
      </c>
      <c r="K503" s="27"/>
      <c r="L503" s="27"/>
      <c r="M503" s="27"/>
      <c r="N503" s="28">
        <f>619.5</f>
        <v>619.5</v>
      </c>
      <c r="O503" s="28"/>
      <c r="P503" s="28"/>
      <c r="Q503" s="27" t="s">
        <v>2032</v>
      </c>
      <c r="R503" s="27"/>
      <c r="S503" s="29" t="s">
        <v>2032</v>
      </c>
      <c r="T503" s="29"/>
      <c r="U503" s="29"/>
      <c r="V503" s="29"/>
      <c r="W503" s="30" t="s">
        <v>2032</v>
      </c>
      <c r="X503" s="29" t="s">
        <v>2032</v>
      </c>
      <c r="Y503" s="29"/>
      <c r="Z503" s="29"/>
      <c r="AA503" s="29"/>
      <c r="AB503" s="27" t="s">
        <v>2056</v>
      </c>
      <c r="AC503" s="27"/>
      <c r="AD503" s="27"/>
      <c r="AE503" s="31">
        <f>619.5</f>
        <v>619.5</v>
      </c>
      <c r="AF503" s="31"/>
      <c r="AG503" s="31"/>
    </row>
    <row r="504" spans="1:33" s="1" customFormat="1" ht="46.5" customHeight="1">
      <c r="A504" s="24" t="s">
        <v>3439</v>
      </c>
      <c r="B504" s="25" t="s">
        <v>3440</v>
      </c>
      <c r="C504" s="25"/>
      <c r="D504" s="25"/>
      <c r="E504" s="26" t="s">
        <v>3441</v>
      </c>
      <c r="F504" s="26"/>
      <c r="G504" s="26"/>
      <c r="H504" s="26"/>
      <c r="I504" s="26"/>
      <c r="J504" s="27" t="s">
        <v>2056</v>
      </c>
      <c r="K504" s="27"/>
      <c r="L504" s="27"/>
      <c r="M504" s="27"/>
      <c r="N504" s="28">
        <f>1090.32</f>
        <v>1090.32</v>
      </c>
      <c r="O504" s="28"/>
      <c r="P504" s="28"/>
      <c r="Q504" s="27" t="s">
        <v>2032</v>
      </c>
      <c r="R504" s="27"/>
      <c r="S504" s="29" t="s">
        <v>2032</v>
      </c>
      <c r="T504" s="29"/>
      <c r="U504" s="29"/>
      <c r="V504" s="29"/>
      <c r="W504" s="30" t="s">
        <v>2032</v>
      </c>
      <c r="X504" s="29" t="s">
        <v>2032</v>
      </c>
      <c r="Y504" s="29"/>
      <c r="Z504" s="29"/>
      <c r="AA504" s="29"/>
      <c r="AB504" s="27" t="s">
        <v>2056</v>
      </c>
      <c r="AC504" s="27"/>
      <c r="AD504" s="27"/>
      <c r="AE504" s="31">
        <f>1090.32</f>
        <v>1090.32</v>
      </c>
      <c r="AF504" s="31"/>
      <c r="AG504" s="31"/>
    </row>
    <row r="505" spans="1:33" s="1" customFormat="1" ht="46.5" customHeight="1">
      <c r="A505" s="24" t="s">
        <v>3442</v>
      </c>
      <c r="B505" s="25" t="s">
        <v>3443</v>
      </c>
      <c r="C505" s="25"/>
      <c r="D505" s="25"/>
      <c r="E505" s="26" t="s">
        <v>3444</v>
      </c>
      <c r="F505" s="26"/>
      <c r="G505" s="26"/>
      <c r="H505" s="26"/>
      <c r="I505" s="26"/>
      <c r="J505" s="27" t="s">
        <v>2096</v>
      </c>
      <c r="K505" s="27"/>
      <c r="L505" s="27"/>
      <c r="M505" s="27"/>
      <c r="N505" s="28">
        <f>256.96</f>
        <v>256.96</v>
      </c>
      <c r="O505" s="28"/>
      <c r="P505" s="28"/>
      <c r="Q505" s="27" t="s">
        <v>2032</v>
      </c>
      <c r="R505" s="27"/>
      <c r="S505" s="29" t="s">
        <v>2032</v>
      </c>
      <c r="T505" s="29"/>
      <c r="U505" s="29"/>
      <c r="V505" s="29"/>
      <c r="W505" s="30" t="s">
        <v>2032</v>
      </c>
      <c r="X505" s="29" t="s">
        <v>2032</v>
      </c>
      <c r="Y505" s="29"/>
      <c r="Z505" s="29"/>
      <c r="AA505" s="29"/>
      <c r="AB505" s="27" t="s">
        <v>2096</v>
      </c>
      <c r="AC505" s="27"/>
      <c r="AD505" s="27"/>
      <c r="AE505" s="31">
        <f>256.96</f>
        <v>256.96</v>
      </c>
      <c r="AF505" s="31"/>
      <c r="AG505" s="31"/>
    </row>
    <row r="506" spans="1:33" s="1" customFormat="1" ht="18.75" customHeight="1">
      <c r="A506" s="24" t="s">
        <v>3445</v>
      </c>
      <c r="B506" s="25" t="s">
        <v>3446</v>
      </c>
      <c r="C506" s="25"/>
      <c r="D506" s="25"/>
      <c r="E506" s="26" t="s">
        <v>3447</v>
      </c>
      <c r="F506" s="26"/>
      <c r="G506" s="26"/>
      <c r="H506" s="26"/>
      <c r="I506" s="26"/>
      <c r="J506" s="27" t="s">
        <v>2062</v>
      </c>
      <c r="K506" s="27"/>
      <c r="L506" s="27"/>
      <c r="M506" s="27"/>
      <c r="N506" s="28">
        <f>511.42</f>
        <v>511.42</v>
      </c>
      <c r="O506" s="28"/>
      <c r="P506" s="28"/>
      <c r="Q506" s="27" t="s">
        <v>2032</v>
      </c>
      <c r="R506" s="27"/>
      <c r="S506" s="29" t="s">
        <v>2032</v>
      </c>
      <c r="T506" s="29"/>
      <c r="U506" s="29"/>
      <c r="V506" s="29"/>
      <c r="W506" s="30" t="s">
        <v>2032</v>
      </c>
      <c r="X506" s="29" t="s">
        <v>2032</v>
      </c>
      <c r="Y506" s="29"/>
      <c r="Z506" s="29"/>
      <c r="AA506" s="29"/>
      <c r="AB506" s="27" t="s">
        <v>2062</v>
      </c>
      <c r="AC506" s="27"/>
      <c r="AD506" s="27"/>
      <c r="AE506" s="31">
        <f>511.42</f>
        <v>511.42</v>
      </c>
      <c r="AF506" s="31"/>
      <c r="AG506" s="31"/>
    </row>
    <row r="507" spans="1:33" s="1" customFormat="1" ht="33" customHeight="1">
      <c r="A507" s="24" t="s">
        <v>3448</v>
      </c>
      <c r="B507" s="25" t="s">
        <v>3449</v>
      </c>
      <c r="C507" s="25"/>
      <c r="D507" s="25"/>
      <c r="E507" s="26" t="s">
        <v>3450</v>
      </c>
      <c r="F507" s="26"/>
      <c r="G507" s="26"/>
      <c r="H507" s="26"/>
      <c r="I507" s="26"/>
      <c r="J507" s="27" t="s">
        <v>2102</v>
      </c>
      <c r="K507" s="27"/>
      <c r="L507" s="27"/>
      <c r="M507" s="27"/>
      <c r="N507" s="28">
        <f>3744</f>
        <v>3744</v>
      </c>
      <c r="O507" s="28"/>
      <c r="P507" s="28"/>
      <c r="Q507" s="27" t="s">
        <v>2032</v>
      </c>
      <c r="R507" s="27"/>
      <c r="S507" s="29" t="s">
        <v>2032</v>
      </c>
      <c r="T507" s="29"/>
      <c r="U507" s="29"/>
      <c r="V507" s="29"/>
      <c r="W507" s="30" t="s">
        <v>2032</v>
      </c>
      <c r="X507" s="29" t="s">
        <v>2032</v>
      </c>
      <c r="Y507" s="29"/>
      <c r="Z507" s="29"/>
      <c r="AA507" s="29"/>
      <c r="AB507" s="27" t="s">
        <v>2102</v>
      </c>
      <c r="AC507" s="27"/>
      <c r="AD507" s="27"/>
      <c r="AE507" s="31">
        <f>3744</f>
        <v>3744</v>
      </c>
      <c r="AF507" s="31"/>
      <c r="AG507" s="31"/>
    </row>
    <row r="508" spans="1:33" s="1" customFormat="1" ht="33" customHeight="1">
      <c r="A508" s="24" t="s">
        <v>3451</v>
      </c>
      <c r="B508" s="25" t="s">
        <v>3452</v>
      </c>
      <c r="C508" s="25"/>
      <c r="D508" s="25"/>
      <c r="E508" s="26" t="s">
        <v>3453</v>
      </c>
      <c r="F508" s="26"/>
      <c r="G508" s="26"/>
      <c r="H508" s="26"/>
      <c r="I508" s="26"/>
      <c r="J508" s="27" t="s">
        <v>2057</v>
      </c>
      <c r="K508" s="27"/>
      <c r="L508" s="27"/>
      <c r="M508" s="27"/>
      <c r="N508" s="28">
        <f>730.64</f>
        <v>730.64</v>
      </c>
      <c r="O508" s="28"/>
      <c r="P508" s="28"/>
      <c r="Q508" s="27" t="s">
        <v>2032</v>
      </c>
      <c r="R508" s="27"/>
      <c r="S508" s="29" t="s">
        <v>2032</v>
      </c>
      <c r="T508" s="29"/>
      <c r="U508" s="29"/>
      <c r="V508" s="29"/>
      <c r="W508" s="30" t="s">
        <v>2032</v>
      </c>
      <c r="X508" s="29" t="s">
        <v>2032</v>
      </c>
      <c r="Y508" s="29"/>
      <c r="Z508" s="29"/>
      <c r="AA508" s="29"/>
      <c r="AB508" s="27" t="s">
        <v>2057</v>
      </c>
      <c r="AC508" s="27"/>
      <c r="AD508" s="27"/>
      <c r="AE508" s="31">
        <f>730.64</f>
        <v>730.64</v>
      </c>
      <c r="AF508" s="31"/>
      <c r="AG508" s="31"/>
    </row>
    <row r="509" spans="1:33" s="1" customFormat="1" ht="33" customHeight="1">
      <c r="A509" s="24" t="s">
        <v>3454</v>
      </c>
      <c r="B509" s="25" t="s">
        <v>3455</v>
      </c>
      <c r="C509" s="25"/>
      <c r="D509" s="25"/>
      <c r="E509" s="26" t="s">
        <v>3456</v>
      </c>
      <c r="F509" s="26"/>
      <c r="G509" s="26"/>
      <c r="H509" s="26"/>
      <c r="I509" s="26"/>
      <c r="J509" s="27" t="s">
        <v>2060</v>
      </c>
      <c r="K509" s="27"/>
      <c r="L509" s="27"/>
      <c r="M509" s="27"/>
      <c r="N509" s="28">
        <f>8140</f>
        <v>8140</v>
      </c>
      <c r="O509" s="28"/>
      <c r="P509" s="28"/>
      <c r="Q509" s="27" t="s">
        <v>2032</v>
      </c>
      <c r="R509" s="27"/>
      <c r="S509" s="29" t="s">
        <v>2032</v>
      </c>
      <c r="T509" s="29"/>
      <c r="U509" s="29"/>
      <c r="V509" s="29"/>
      <c r="W509" s="30" t="s">
        <v>2032</v>
      </c>
      <c r="X509" s="29" t="s">
        <v>2032</v>
      </c>
      <c r="Y509" s="29"/>
      <c r="Z509" s="29"/>
      <c r="AA509" s="29"/>
      <c r="AB509" s="27" t="s">
        <v>2060</v>
      </c>
      <c r="AC509" s="27"/>
      <c r="AD509" s="27"/>
      <c r="AE509" s="31">
        <f>8140</f>
        <v>8140</v>
      </c>
      <c r="AF509" s="31"/>
      <c r="AG509" s="31"/>
    </row>
    <row r="510" spans="1:33" s="1" customFormat="1" ht="18.75" customHeight="1">
      <c r="A510" s="24" t="s">
        <v>3457</v>
      </c>
      <c r="B510" s="25" t="s">
        <v>3458</v>
      </c>
      <c r="C510" s="25"/>
      <c r="D510" s="25"/>
      <c r="E510" s="26" t="s">
        <v>3459</v>
      </c>
      <c r="F510" s="26"/>
      <c r="G510" s="26"/>
      <c r="H510" s="26"/>
      <c r="I510" s="26"/>
      <c r="J510" s="27" t="s">
        <v>2061</v>
      </c>
      <c r="K510" s="27"/>
      <c r="L510" s="27"/>
      <c r="M510" s="27"/>
      <c r="N510" s="28">
        <f>13800</f>
        <v>13800</v>
      </c>
      <c r="O510" s="28"/>
      <c r="P510" s="28"/>
      <c r="Q510" s="27" t="s">
        <v>2032</v>
      </c>
      <c r="R510" s="27"/>
      <c r="S510" s="29" t="s">
        <v>2032</v>
      </c>
      <c r="T510" s="29"/>
      <c r="U510" s="29"/>
      <c r="V510" s="29"/>
      <c r="W510" s="30" t="s">
        <v>2032</v>
      </c>
      <c r="X510" s="29" t="s">
        <v>2032</v>
      </c>
      <c r="Y510" s="29"/>
      <c r="Z510" s="29"/>
      <c r="AA510" s="29"/>
      <c r="AB510" s="27" t="s">
        <v>2061</v>
      </c>
      <c r="AC510" s="27"/>
      <c r="AD510" s="27"/>
      <c r="AE510" s="31">
        <f>13800</f>
        <v>13800</v>
      </c>
      <c r="AF510" s="31"/>
      <c r="AG510" s="31"/>
    </row>
    <row r="511" spans="1:33" s="1" customFormat="1" ht="18.75" customHeight="1">
      <c r="A511" s="24" t="s">
        <v>3460</v>
      </c>
      <c r="B511" s="25" t="s">
        <v>3461</v>
      </c>
      <c r="C511" s="25"/>
      <c r="D511" s="25"/>
      <c r="E511" s="26" t="s">
        <v>3462</v>
      </c>
      <c r="F511" s="26"/>
      <c r="G511" s="26"/>
      <c r="H511" s="26"/>
      <c r="I511" s="26"/>
      <c r="J511" s="27" t="s">
        <v>2090</v>
      </c>
      <c r="K511" s="27"/>
      <c r="L511" s="27"/>
      <c r="M511" s="27"/>
      <c r="N511" s="28">
        <f>35800</f>
        <v>35800</v>
      </c>
      <c r="O511" s="28"/>
      <c r="P511" s="28"/>
      <c r="Q511" s="27" t="s">
        <v>2032</v>
      </c>
      <c r="R511" s="27"/>
      <c r="S511" s="29" t="s">
        <v>2032</v>
      </c>
      <c r="T511" s="29"/>
      <c r="U511" s="29"/>
      <c r="V511" s="29"/>
      <c r="W511" s="30" t="s">
        <v>2032</v>
      </c>
      <c r="X511" s="29" t="s">
        <v>2032</v>
      </c>
      <c r="Y511" s="29"/>
      <c r="Z511" s="29"/>
      <c r="AA511" s="29"/>
      <c r="AB511" s="27" t="s">
        <v>2090</v>
      </c>
      <c r="AC511" s="27"/>
      <c r="AD511" s="27"/>
      <c r="AE511" s="31">
        <f>35800</f>
        <v>35800</v>
      </c>
      <c r="AF511" s="31"/>
      <c r="AG511" s="31"/>
    </row>
    <row r="512" spans="1:33" s="1" customFormat="1" ht="18.75" customHeight="1">
      <c r="A512" s="24" t="s">
        <v>3463</v>
      </c>
      <c r="B512" s="25" t="s">
        <v>3464</v>
      </c>
      <c r="C512" s="25"/>
      <c r="D512" s="25"/>
      <c r="E512" s="26" t="s">
        <v>3465</v>
      </c>
      <c r="F512" s="26"/>
      <c r="G512" s="26"/>
      <c r="H512" s="26"/>
      <c r="I512" s="26"/>
      <c r="J512" s="27" t="s">
        <v>2060</v>
      </c>
      <c r="K512" s="27"/>
      <c r="L512" s="27"/>
      <c r="M512" s="27"/>
      <c r="N512" s="28">
        <f>5755</f>
        <v>5755</v>
      </c>
      <c r="O512" s="28"/>
      <c r="P512" s="28"/>
      <c r="Q512" s="27" t="s">
        <v>2032</v>
      </c>
      <c r="R512" s="27"/>
      <c r="S512" s="29" t="s">
        <v>2032</v>
      </c>
      <c r="T512" s="29"/>
      <c r="U512" s="29"/>
      <c r="V512" s="29"/>
      <c r="W512" s="30" t="s">
        <v>2032</v>
      </c>
      <c r="X512" s="29" t="s">
        <v>2032</v>
      </c>
      <c r="Y512" s="29"/>
      <c r="Z512" s="29"/>
      <c r="AA512" s="29"/>
      <c r="AB512" s="27" t="s">
        <v>2060</v>
      </c>
      <c r="AC512" s="27"/>
      <c r="AD512" s="27"/>
      <c r="AE512" s="31">
        <f>5755</f>
        <v>5755</v>
      </c>
      <c r="AF512" s="31"/>
      <c r="AG512" s="31"/>
    </row>
    <row r="513" spans="1:33" s="1" customFormat="1" ht="18.75" customHeight="1">
      <c r="A513" s="24" t="s">
        <v>3466</v>
      </c>
      <c r="B513" s="25" t="s">
        <v>3467</v>
      </c>
      <c r="C513" s="25"/>
      <c r="D513" s="25"/>
      <c r="E513" s="26" t="s">
        <v>3468</v>
      </c>
      <c r="F513" s="26"/>
      <c r="G513" s="26"/>
      <c r="H513" s="26"/>
      <c r="I513" s="26"/>
      <c r="J513" s="27" t="s">
        <v>2056</v>
      </c>
      <c r="K513" s="27"/>
      <c r="L513" s="27"/>
      <c r="M513" s="27"/>
      <c r="N513" s="28">
        <f>576</f>
        <v>576</v>
      </c>
      <c r="O513" s="28"/>
      <c r="P513" s="28"/>
      <c r="Q513" s="27" t="s">
        <v>2032</v>
      </c>
      <c r="R513" s="27"/>
      <c r="S513" s="29" t="s">
        <v>2032</v>
      </c>
      <c r="T513" s="29"/>
      <c r="U513" s="29"/>
      <c r="V513" s="29"/>
      <c r="W513" s="30" t="s">
        <v>2032</v>
      </c>
      <c r="X513" s="29" t="s">
        <v>2032</v>
      </c>
      <c r="Y513" s="29"/>
      <c r="Z513" s="29"/>
      <c r="AA513" s="29"/>
      <c r="AB513" s="27" t="s">
        <v>2056</v>
      </c>
      <c r="AC513" s="27"/>
      <c r="AD513" s="27"/>
      <c r="AE513" s="31">
        <f>576</f>
        <v>576</v>
      </c>
      <c r="AF513" s="31"/>
      <c r="AG513" s="31"/>
    </row>
    <row r="514" spans="1:33" s="1" customFormat="1" ht="18.75" customHeight="1">
      <c r="A514" s="24" t="s">
        <v>3469</v>
      </c>
      <c r="B514" s="25" t="s">
        <v>3470</v>
      </c>
      <c r="C514" s="25"/>
      <c r="D514" s="25"/>
      <c r="E514" s="26" t="s">
        <v>3471</v>
      </c>
      <c r="F514" s="26"/>
      <c r="G514" s="26"/>
      <c r="H514" s="26"/>
      <c r="I514" s="26"/>
      <c r="J514" s="27" t="s">
        <v>2057</v>
      </c>
      <c r="K514" s="27"/>
      <c r="L514" s="27"/>
      <c r="M514" s="27"/>
      <c r="N514" s="28">
        <f>146.12</f>
        <v>146.12</v>
      </c>
      <c r="O514" s="28"/>
      <c r="P514" s="28"/>
      <c r="Q514" s="27" t="s">
        <v>2032</v>
      </c>
      <c r="R514" s="27"/>
      <c r="S514" s="29" t="s">
        <v>2032</v>
      </c>
      <c r="T514" s="29"/>
      <c r="U514" s="29"/>
      <c r="V514" s="29"/>
      <c r="W514" s="30" t="s">
        <v>2032</v>
      </c>
      <c r="X514" s="29" t="s">
        <v>2032</v>
      </c>
      <c r="Y514" s="29"/>
      <c r="Z514" s="29"/>
      <c r="AA514" s="29"/>
      <c r="AB514" s="27" t="s">
        <v>2057</v>
      </c>
      <c r="AC514" s="27"/>
      <c r="AD514" s="27"/>
      <c r="AE514" s="31">
        <f>146.12</f>
        <v>146.12</v>
      </c>
      <c r="AF514" s="31"/>
      <c r="AG514" s="31"/>
    </row>
    <row r="515" spans="1:33" s="1" customFormat="1" ht="18.75" customHeight="1">
      <c r="A515" s="24" t="s">
        <v>3472</v>
      </c>
      <c r="B515" s="25" t="s">
        <v>3473</v>
      </c>
      <c r="C515" s="25"/>
      <c r="D515" s="25"/>
      <c r="E515" s="26" t="s">
        <v>3474</v>
      </c>
      <c r="F515" s="26"/>
      <c r="G515" s="26"/>
      <c r="H515" s="26"/>
      <c r="I515" s="26"/>
      <c r="J515" s="27" t="s">
        <v>2056</v>
      </c>
      <c r="K515" s="27"/>
      <c r="L515" s="27"/>
      <c r="M515" s="27"/>
      <c r="N515" s="28">
        <f>73.06</f>
        <v>73.06</v>
      </c>
      <c r="O515" s="28"/>
      <c r="P515" s="28"/>
      <c r="Q515" s="27" t="s">
        <v>2032</v>
      </c>
      <c r="R515" s="27"/>
      <c r="S515" s="29" t="s">
        <v>2032</v>
      </c>
      <c r="T515" s="29"/>
      <c r="U515" s="29"/>
      <c r="V515" s="29"/>
      <c r="W515" s="30" t="s">
        <v>2032</v>
      </c>
      <c r="X515" s="29" t="s">
        <v>2032</v>
      </c>
      <c r="Y515" s="29"/>
      <c r="Z515" s="29"/>
      <c r="AA515" s="29"/>
      <c r="AB515" s="27" t="s">
        <v>2056</v>
      </c>
      <c r="AC515" s="27"/>
      <c r="AD515" s="27"/>
      <c r="AE515" s="31">
        <f>73.06</f>
        <v>73.06</v>
      </c>
      <c r="AF515" s="31"/>
      <c r="AG515" s="31"/>
    </row>
    <row r="516" spans="1:33" s="1" customFormat="1" ht="18.75" customHeight="1">
      <c r="A516" s="24" t="s">
        <v>3475</v>
      </c>
      <c r="B516" s="25" t="s">
        <v>3476</v>
      </c>
      <c r="C516" s="25"/>
      <c r="D516" s="25"/>
      <c r="E516" s="26" t="s">
        <v>3477</v>
      </c>
      <c r="F516" s="26"/>
      <c r="G516" s="26"/>
      <c r="H516" s="26"/>
      <c r="I516" s="26"/>
      <c r="J516" s="27" t="s">
        <v>2056</v>
      </c>
      <c r="K516" s="27"/>
      <c r="L516" s="27"/>
      <c r="M516" s="27"/>
      <c r="N516" s="28">
        <f>73.06</f>
        <v>73.06</v>
      </c>
      <c r="O516" s="28"/>
      <c r="P516" s="28"/>
      <c r="Q516" s="27" t="s">
        <v>2032</v>
      </c>
      <c r="R516" s="27"/>
      <c r="S516" s="29" t="s">
        <v>2032</v>
      </c>
      <c r="T516" s="29"/>
      <c r="U516" s="29"/>
      <c r="V516" s="29"/>
      <c r="W516" s="30" t="s">
        <v>2032</v>
      </c>
      <c r="X516" s="29" t="s">
        <v>2032</v>
      </c>
      <c r="Y516" s="29"/>
      <c r="Z516" s="29"/>
      <c r="AA516" s="29"/>
      <c r="AB516" s="27" t="s">
        <v>2056</v>
      </c>
      <c r="AC516" s="27"/>
      <c r="AD516" s="27"/>
      <c r="AE516" s="31">
        <f>73.06</f>
        <v>73.06</v>
      </c>
      <c r="AF516" s="31"/>
      <c r="AG516" s="31"/>
    </row>
    <row r="517" spans="1:33" s="1" customFormat="1" ht="18.75" customHeight="1">
      <c r="A517" s="24" t="s">
        <v>3478</v>
      </c>
      <c r="B517" s="25" t="s">
        <v>3479</v>
      </c>
      <c r="C517" s="25"/>
      <c r="D517" s="25"/>
      <c r="E517" s="26" t="s">
        <v>3480</v>
      </c>
      <c r="F517" s="26"/>
      <c r="G517" s="26"/>
      <c r="H517" s="26"/>
      <c r="I517" s="26"/>
      <c r="J517" s="27" t="s">
        <v>2056</v>
      </c>
      <c r="K517" s="27"/>
      <c r="L517" s="27"/>
      <c r="M517" s="27"/>
      <c r="N517" s="28">
        <f>2766.67</f>
        <v>2766.67</v>
      </c>
      <c r="O517" s="28"/>
      <c r="P517" s="28"/>
      <c r="Q517" s="27" t="s">
        <v>2032</v>
      </c>
      <c r="R517" s="27"/>
      <c r="S517" s="29" t="s">
        <v>2032</v>
      </c>
      <c r="T517" s="29"/>
      <c r="U517" s="29"/>
      <c r="V517" s="29"/>
      <c r="W517" s="30" t="s">
        <v>2032</v>
      </c>
      <c r="X517" s="29" t="s">
        <v>2032</v>
      </c>
      <c r="Y517" s="29"/>
      <c r="Z517" s="29"/>
      <c r="AA517" s="29"/>
      <c r="AB517" s="27" t="s">
        <v>2056</v>
      </c>
      <c r="AC517" s="27"/>
      <c r="AD517" s="27"/>
      <c r="AE517" s="31">
        <f>2766.67</f>
        <v>2766.67</v>
      </c>
      <c r="AF517" s="31"/>
      <c r="AG517" s="31"/>
    </row>
    <row r="518" spans="1:33" s="1" customFormat="1" ht="18.75" customHeight="1">
      <c r="A518" s="24" t="s">
        <v>3481</v>
      </c>
      <c r="B518" s="25" t="s">
        <v>3482</v>
      </c>
      <c r="C518" s="25"/>
      <c r="D518" s="25"/>
      <c r="E518" s="26" t="s">
        <v>3480</v>
      </c>
      <c r="F518" s="26"/>
      <c r="G518" s="26"/>
      <c r="H518" s="26"/>
      <c r="I518" s="26"/>
      <c r="J518" s="27" t="s">
        <v>2056</v>
      </c>
      <c r="K518" s="27"/>
      <c r="L518" s="27"/>
      <c r="M518" s="27"/>
      <c r="N518" s="28">
        <f>2766.67</f>
        <v>2766.67</v>
      </c>
      <c r="O518" s="28"/>
      <c r="P518" s="28"/>
      <c r="Q518" s="27" t="s">
        <v>2032</v>
      </c>
      <c r="R518" s="27"/>
      <c r="S518" s="29" t="s">
        <v>2032</v>
      </c>
      <c r="T518" s="29"/>
      <c r="U518" s="29"/>
      <c r="V518" s="29"/>
      <c r="W518" s="30" t="s">
        <v>2032</v>
      </c>
      <c r="X518" s="29" t="s">
        <v>2032</v>
      </c>
      <c r="Y518" s="29"/>
      <c r="Z518" s="29"/>
      <c r="AA518" s="29"/>
      <c r="AB518" s="27" t="s">
        <v>2056</v>
      </c>
      <c r="AC518" s="27"/>
      <c r="AD518" s="27"/>
      <c r="AE518" s="31">
        <f>2766.67</f>
        <v>2766.67</v>
      </c>
      <c r="AF518" s="31"/>
      <c r="AG518" s="31"/>
    </row>
    <row r="519" spans="1:33" s="1" customFormat="1" ht="18.75" customHeight="1">
      <c r="A519" s="24" t="s">
        <v>3483</v>
      </c>
      <c r="B519" s="25" t="s">
        <v>3484</v>
      </c>
      <c r="C519" s="25"/>
      <c r="D519" s="25"/>
      <c r="E519" s="26" t="s">
        <v>3480</v>
      </c>
      <c r="F519" s="26"/>
      <c r="G519" s="26"/>
      <c r="H519" s="26"/>
      <c r="I519" s="26"/>
      <c r="J519" s="27" t="s">
        <v>2056</v>
      </c>
      <c r="K519" s="27"/>
      <c r="L519" s="27"/>
      <c r="M519" s="27"/>
      <c r="N519" s="28">
        <f>2766.67</f>
        <v>2766.67</v>
      </c>
      <c r="O519" s="28"/>
      <c r="P519" s="28"/>
      <c r="Q519" s="27" t="s">
        <v>2032</v>
      </c>
      <c r="R519" s="27"/>
      <c r="S519" s="29" t="s">
        <v>2032</v>
      </c>
      <c r="T519" s="29"/>
      <c r="U519" s="29"/>
      <c r="V519" s="29"/>
      <c r="W519" s="30" t="s">
        <v>2032</v>
      </c>
      <c r="X519" s="29" t="s">
        <v>2032</v>
      </c>
      <c r="Y519" s="29"/>
      <c r="Z519" s="29"/>
      <c r="AA519" s="29"/>
      <c r="AB519" s="27" t="s">
        <v>2056</v>
      </c>
      <c r="AC519" s="27"/>
      <c r="AD519" s="27"/>
      <c r="AE519" s="31">
        <f>2766.67</f>
        <v>2766.67</v>
      </c>
      <c r="AF519" s="31"/>
      <c r="AG519" s="31"/>
    </row>
    <row r="520" spans="1:33" s="1" customFormat="1" ht="18.75" customHeight="1">
      <c r="A520" s="24" t="s">
        <v>3485</v>
      </c>
      <c r="B520" s="25" t="s">
        <v>3486</v>
      </c>
      <c r="C520" s="25"/>
      <c r="D520" s="25"/>
      <c r="E520" s="26" t="s">
        <v>3487</v>
      </c>
      <c r="F520" s="26"/>
      <c r="G520" s="26"/>
      <c r="H520" s="26"/>
      <c r="I520" s="26"/>
      <c r="J520" s="27" t="s">
        <v>2198</v>
      </c>
      <c r="K520" s="27"/>
      <c r="L520" s="27"/>
      <c r="M520" s="27"/>
      <c r="N520" s="28">
        <f>4800</f>
        <v>4800</v>
      </c>
      <c r="O520" s="28"/>
      <c r="P520" s="28"/>
      <c r="Q520" s="27" t="s">
        <v>2032</v>
      </c>
      <c r="R520" s="27"/>
      <c r="S520" s="29" t="s">
        <v>2032</v>
      </c>
      <c r="T520" s="29"/>
      <c r="U520" s="29"/>
      <c r="V520" s="29"/>
      <c r="W520" s="30" t="s">
        <v>2032</v>
      </c>
      <c r="X520" s="29" t="s">
        <v>2032</v>
      </c>
      <c r="Y520" s="29"/>
      <c r="Z520" s="29"/>
      <c r="AA520" s="29"/>
      <c r="AB520" s="27" t="s">
        <v>2198</v>
      </c>
      <c r="AC520" s="27"/>
      <c r="AD520" s="27"/>
      <c r="AE520" s="31">
        <f>4800</f>
        <v>4800</v>
      </c>
      <c r="AF520" s="31"/>
      <c r="AG520" s="31"/>
    </row>
    <row r="521" spans="1:33" s="1" customFormat="1" ht="18.75" customHeight="1">
      <c r="A521" s="24" t="s">
        <v>3488</v>
      </c>
      <c r="B521" s="25" t="s">
        <v>3489</v>
      </c>
      <c r="C521" s="25"/>
      <c r="D521" s="25"/>
      <c r="E521" s="26" t="s">
        <v>3490</v>
      </c>
      <c r="F521" s="26"/>
      <c r="G521" s="26"/>
      <c r="H521" s="26"/>
      <c r="I521" s="26"/>
      <c r="J521" s="27" t="s">
        <v>2060</v>
      </c>
      <c r="K521" s="27"/>
      <c r="L521" s="27"/>
      <c r="M521" s="27"/>
      <c r="N521" s="28">
        <f>5000</f>
        <v>5000</v>
      </c>
      <c r="O521" s="28"/>
      <c r="P521" s="28"/>
      <c r="Q521" s="27" t="s">
        <v>2032</v>
      </c>
      <c r="R521" s="27"/>
      <c r="S521" s="29" t="s">
        <v>2032</v>
      </c>
      <c r="T521" s="29"/>
      <c r="U521" s="29"/>
      <c r="V521" s="29"/>
      <c r="W521" s="30" t="s">
        <v>2032</v>
      </c>
      <c r="X521" s="29" t="s">
        <v>2032</v>
      </c>
      <c r="Y521" s="29"/>
      <c r="Z521" s="29"/>
      <c r="AA521" s="29"/>
      <c r="AB521" s="27" t="s">
        <v>2060</v>
      </c>
      <c r="AC521" s="27"/>
      <c r="AD521" s="27"/>
      <c r="AE521" s="31">
        <f>5000</f>
        <v>5000</v>
      </c>
      <c r="AF521" s="31"/>
      <c r="AG521" s="31"/>
    </row>
    <row r="522" spans="1:33" s="1" customFormat="1" ht="33" customHeight="1">
      <c r="A522" s="24" t="s">
        <v>3491</v>
      </c>
      <c r="B522" s="25" t="s">
        <v>3492</v>
      </c>
      <c r="C522" s="25"/>
      <c r="D522" s="25"/>
      <c r="E522" s="26" t="s">
        <v>3493</v>
      </c>
      <c r="F522" s="26"/>
      <c r="G522" s="26"/>
      <c r="H522" s="26"/>
      <c r="I522" s="26"/>
      <c r="J522" s="27" t="s">
        <v>2057</v>
      </c>
      <c r="K522" s="27"/>
      <c r="L522" s="27"/>
      <c r="M522" s="27"/>
      <c r="N522" s="28">
        <f>3400</f>
        <v>3400</v>
      </c>
      <c r="O522" s="28"/>
      <c r="P522" s="28"/>
      <c r="Q522" s="27" t="s">
        <v>2032</v>
      </c>
      <c r="R522" s="27"/>
      <c r="S522" s="29" t="s">
        <v>2032</v>
      </c>
      <c r="T522" s="29"/>
      <c r="U522" s="29"/>
      <c r="V522" s="29"/>
      <c r="W522" s="30" t="s">
        <v>2032</v>
      </c>
      <c r="X522" s="29" t="s">
        <v>2032</v>
      </c>
      <c r="Y522" s="29"/>
      <c r="Z522" s="29"/>
      <c r="AA522" s="29"/>
      <c r="AB522" s="27" t="s">
        <v>2057</v>
      </c>
      <c r="AC522" s="27"/>
      <c r="AD522" s="27"/>
      <c r="AE522" s="31">
        <f>3400</f>
        <v>3400</v>
      </c>
      <c r="AF522" s="31"/>
      <c r="AG522" s="31"/>
    </row>
    <row r="523" spans="1:33" s="1" customFormat="1" ht="33" customHeight="1">
      <c r="A523" s="24" t="s">
        <v>3494</v>
      </c>
      <c r="B523" s="25" t="s">
        <v>3495</v>
      </c>
      <c r="C523" s="25"/>
      <c r="D523" s="25"/>
      <c r="E523" s="26" t="s">
        <v>3496</v>
      </c>
      <c r="F523" s="26"/>
      <c r="G523" s="26"/>
      <c r="H523" s="26"/>
      <c r="I523" s="26"/>
      <c r="J523" s="27" t="s">
        <v>2056</v>
      </c>
      <c r="K523" s="27"/>
      <c r="L523" s="27"/>
      <c r="M523" s="27"/>
      <c r="N523" s="28">
        <f>1450</f>
        <v>1450</v>
      </c>
      <c r="O523" s="28"/>
      <c r="P523" s="28"/>
      <c r="Q523" s="27" t="s">
        <v>2032</v>
      </c>
      <c r="R523" s="27"/>
      <c r="S523" s="29" t="s">
        <v>2032</v>
      </c>
      <c r="T523" s="29"/>
      <c r="U523" s="29"/>
      <c r="V523" s="29"/>
      <c r="W523" s="30" t="s">
        <v>2032</v>
      </c>
      <c r="X523" s="29" t="s">
        <v>2032</v>
      </c>
      <c r="Y523" s="29"/>
      <c r="Z523" s="29"/>
      <c r="AA523" s="29"/>
      <c r="AB523" s="27" t="s">
        <v>2056</v>
      </c>
      <c r="AC523" s="27"/>
      <c r="AD523" s="27"/>
      <c r="AE523" s="31">
        <f>1450</f>
        <v>1450</v>
      </c>
      <c r="AF523" s="31"/>
      <c r="AG523" s="31"/>
    </row>
    <row r="524" spans="1:33" s="1" customFormat="1" ht="18.75" customHeight="1">
      <c r="A524" s="24" t="s">
        <v>3497</v>
      </c>
      <c r="B524" s="25" t="s">
        <v>3498</v>
      </c>
      <c r="C524" s="25"/>
      <c r="D524" s="25"/>
      <c r="E524" s="26" t="s">
        <v>3499</v>
      </c>
      <c r="F524" s="26"/>
      <c r="G524" s="26"/>
      <c r="H524" s="26"/>
      <c r="I524" s="26"/>
      <c r="J524" s="27" t="s">
        <v>2061</v>
      </c>
      <c r="K524" s="27"/>
      <c r="L524" s="27"/>
      <c r="M524" s="27"/>
      <c r="N524" s="28">
        <f>438.36</f>
        <v>438.36</v>
      </c>
      <c r="O524" s="28"/>
      <c r="P524" s="28"/>
      <c r="Q524" s="27" t="s">
        <v>2032</v>
      </c>
      <c r="R524" s="27"/>
      <c r="S524" s="29" t="s">
        <v>2032</v>
      </c>
      <c r="T524" s="29"/>
      <c r="U524" s="29"/>
      <c r="V524" s="29"/>
      <c r="W524" s="30" t="s">
        <v>2032</v>
      </c>
      <c r="X524" s="29" t="s">
        <v>2032</v>
      </c>
      <c r="Y524" s="29"/>
      <c r="Z524" s="29"/>
      <c r="AA524" s="29"/>
      <c r="AB524" s="27" t="s">
        <v>2061</v>
      </c>
      <c r="AC524" s="27"/>
      <c r="AD524" s="27"/>
      <c r="AE524" s="31">
        <f>438.36</f>
        <v>438.36</v>
      </c>
      <c r="AF524" s="31"/>
      <c r="AG524" s="31"/>
    </row>
    <row r="525" spans="1:33" s="1" customFormat="1" ht="18.75" customHeight="1">
      <c r="A525" s="24" t="s">
        <v>3500</v>
      </c>
      <c r="B525" s="25" t="s">
        <v>2576</v>
      </c>
      <c r="C525" s="25"/>
      <c r="D525" s="25"/>
      <c r="E525" s="26" t="s">
        <v>3501</v>
      </c>
      <c r="F525" s="26"/>
      <c r="G525" s="26"/>
      <c r="H525" s="26"/>
      <c r="I525" s="26"/>
      <c r="J525" s="27" t="s">
        <v>2063</v>
      </c>
      <c r="K525" s="27"/>
      <c r="L525" s="27"/>
      <c r="M525" s="27"/>
      <c r="N525" s="28">
        <f>480</f>
        <v>480</v>
      </c>
      <c r="O525" s="28"/>
      <c r="P525" s="28"/>
      <c r="Q525" s="27" t="s">
        <v>2032</v>
      </c>
      <c r="R525" s="27"/>
      <c r="S525" s="29" t="s">
        <v>2032</v>
      </c>
      <c r="T525" s="29"/>
      <c r="U525" s="29"/>
      <c r="V525" s="29"/>
      <c r="W525" s="30" t="s">
        <v>2032</v>
      </c>
      <c r="X525" s="29" t="s">
        <v>2032</v>
      </c>
      <c r="Y525" s="29"/>
      <c r="Z525" s="29"/>
      <c r="AA525" s="29"/>
      <c r="AB525" s="27" t="s">
        <v>2063</v>
      </c>
      <c r="AC525" s="27"/>
      <c r="AD525" s="27"/>
      <c r="AE525" s="31">
        <f>480</f>
        <v>480</v>
      </c>
      <c r="AF525" s="31"/>
      <c r="AG525" s="31"/>
    </row>
    <row r="526" spans="1:33" s="1" customFormat="1" ht="18.75" customHeight="1">
      <c r="A526" s="24" t="s">
        <v>3502</v>
      </c>
      <c r="B526" s="25" t="s">
        <v>3503</v>
      </c>
      <c r="C526" s="25"/>
      <c r="D526" s="25"/>
      <c r="E526" s="26" t="s">
        <v>3504</v>
      </c>
      <c r="F526" s="26"/>
      <c r="G526" s="26"/>
      <c r="H526" s="26"/>
      <c r="I526" s="26"/>
      <c r="J526" s="27" t="s">
        <v>2056</v>
      </c>
      <c r="K526" s="27"/>
      <c r="L526" s="27"/>
      <c r="M526" s="27"/>
      <c r="N526" s="28">
        <f>1200</f>
        <v>1200</v>
      </c>
      <c r="O526" s="28"/>
      <c r="P526" s="28"/>
      <c r="Q526" s="27" t="s">
        <v>2032</v>
      </c>
      <c r="R526" s="27"/>
      <c r="S526" s="29" t="s">
        <v>2032</v>
      </c>
      <c r="T526" s="29"/>
      <c r="U526" s="29"/>
      <c r="V526" s="29"/>
      <c r="W526" s="30" t="s">
        <v>2032</v>
      </c>
      <c r="X526" s="29" t="s">
        <v>2032</v>
      </c>
      <c r="Y526" s="29"/>
      <c r="Z526" s="29"/>
      <c r="AA526" s="29"/>
      <c r="AB526" s="27" t="s">
        <v>2056</v>
      </c>
      <c r="AC526" s="27"/>
      <c r="AD526" s="27"/>
      <c r="AE526" s="31">
        <f>1200</f>
        <v>1200</v>
      </c>
      <c r="AF526" s="31"/>
      <c r="AG526" s="31"/>
    </row>
    <row r="527" spans="1:33" s="1" customFormat="1" ht="18.75" customHeight="1">
      <c r="A527" s="24" t="s">
        <v>3505</v>
      </c>
      <c r="B527" s="25" t="s">
        <v>3506</v>
      </c>
      <c r="C527" s="25"/>
      <c r="D527" s="25"/>
      <c r="E527" s="26" t="s">
        <v>3507</v>
      </c>
      <c r="F527" s="26"/>
      <c r="G527" s="26"/>
      <c r="H527" s="26"/>
      <c r="I527" s="26"/>
      <c r="J527" s="27" t="s">
        <v>2056</v>
      </c>
      <c r="K527" s="27"/>
      <c r="L527" s="27"/>
      <c r="M527" s="27"/>
      <c r="N527" s="28">
        <f>0.04</f>
        <v>0.04</v>
      </c>
      <c r="O527" s="28"/>
      <c r="P527" s="28"/>
      <c r="Q527" s="27" t="s">
        <v>2032</v>
      </c>
      <c r="R527" s="27"/>
      <c r="S527" s="29" t="s">
        <v>2032</v>
      </c>
      <c r="T527" s="29"/>
      <c r="U527" s="29"/>
      <c r="V527" s="29"/>
      <c r="W527" s="30" t="s">
        <v>2032</v>
      </c>
      <c r="X527" s="29" t="s">
        <v>2032</v>
      </c>
      <c r="Y527" s="29"/>
      <c r="Z527" s="29"/>
      <c r="AA527" s="29"/>
      <c r="AB527" s="27" t="s">
        <v>2056</v>
      </c>
      <c r="AC527" s="27"/>
      <c r="AD527" s="27"/>
      <c r="AE527" s="31">
        <f>0.04</f>
        <v>0.04</v>
      </c>
      <c r="AF527" s="31"/>
      <c r="AG527" s="31"/>
    </row>
    <row r="528" spans="1:33" s="1" customFormat="1" ht="18.75" customHeight="1">
      <c r="A528" s="24" t="s">
        <v>3508</v>
      </c>
      <c r="B528" s="25" t="s">
        <v>3509</v>
      </c>
      <c r="C528" s="25"/>
      <c r="D528" s="25"/>
      <c r="E528" s="26" t="s">
        <v>3510</v>
      </c>
      <c r="F528" s="26"/>
      <c r="G528" s="26"/>
      <c r="H528" s="26"/>
      <c r="I528" s="26"/>
      <c r="J528" s="27" t="s">
        <v>2056</v>
      </c>
      <c r="K528" s="27"/>
      <c r="L528" s="27"/>
      <c r="M528" s="27"/>
      <c r="N528" s="28">
        <f>0.03</f>
        <v>0.03</v>
      </c>
      <c r="O528" s="28"/>
      <c r="P528" s="28"/>
      <c r="Q528" s="27" t="s">
        <v>2032</v>
      </c>
      <c r="R528" s="27"/>
      <c r="S528" s="29" t="s">
        <v>2032</v>
      </c>
      <c r="T528" s="29"/>
      <c r="U528" s="29"/>
      <c r="V528" s="29"/>
      <c r="W528" s="30" t="s">
        <v>2032</v>
      </c>
      <c r="X528" s="29" t="s">
        <v>2032</v>
      </c>
      <c r="Y528" s="29"/>
      <c r="Z528" s="29"/>
      <c r="AA528" s="29"/>
      <c r="AB528" s="27" t="s">
        <v>2056</v>
      </c>
      <c r="AC528" s="27"/>
      <c r="AD528" s="27"/>
      <c r="AE528" s="31">
        <f>0.03</f>
        <v>0.03</v>
      </c>
      <c r="AF528" s="31"/>
      <c r="AG528" s="31"/>
    </row>
    <row r="529" spans="1:33" s="1" customFormat="1" ht="18.75" customHeight="1">
      <c r="A529" s="24" t="s">
        <v>3511</v>
      </c>
      <c r="B529" s="25" t="s">
        <v>3512</v>
      </c>
      <c r="C529" s="25"/>
      <c r="D529" s="25"/>
      <c r="E529" s="26" t="s">
        <v>3513</v>
      </c>
      <c r="F529" s="26"/>
      <c r="G529" s="26"/>
      <c r="H529" s="26"/>
      <c r="I529" s="26"/>
      <c r="J529" s="27" t="s">
        <v>2056</v>
      </c>
      <c r="K529" s="27"/>
      <c r="L529" s="27"/>
      <c r="M529" s="27"/>
      <c r="N529" s="28">
        <f>2900</f>
        <v>2900</v>
      </c>
      <c r="O529" s="28"/>
      <c r="P529" s="28"/>
      <c r="Q529" s="27" t="s">
        <v>2032</v>
      </c>
      <c r="R529" s="27"/>
      <c r="S529" s="29" t="s">
        <v>2032</v>
      </c>
      <c r="T529" s="29"/>
      <c r="U529" s="29"/>
      <c r="V529" s="29"/>
      <c r="W529" s="30" t="s">
        <v>2032</v>
      </c>
      <c r="X529" s="29" t="s">
        <v>2032</v>
      </c>
      <c r="Y529" s="29"/>
      <c r="Z529" s="29"/>
      <c r="AA529" s="29"/>
      <c r="AB529" s="27" t="s">
        <v>2056</v>
      </c>
      <c r="AC529" s="27"/>
      <c r="AD529" s="27"/>
      <c r="AE529" s="31">
        <f>2900</f>
        <v>2900</v>
      </c>
      <c r="AF529" s="31"/>
      <c r="AG529" s="31"/>
    </row>
    <row r="530" spans="1:33" s="1" customFormat="1" ht="33" customHeight="1">
      <c r="A530" s="24" t="s">
        <v>3514</v>
      </c>
      <c r="B530" s="25" t="s">
        <v>3515</v>
      </c>
      <c r="C530" s="25"/>
      <c r="D530" s="25"/>
      <c r="E530" s="26" t="s">
        <v>3516</v>
      </c>
      <c r="F530" s="26"/>
      <c r="G530" s="26"/>
      <c r="H530" s="26"/>
      <c r="I530" s="26"/>
      <c r="J530" s="27" t="s">
        <v>2300</v>
      </c>
      <c r="K530" s="27"/>
      <c r="L530" s="27"/>
      <c r="M530" s="27"/>
      <c r="N530" s="28">
        <f>5472.5</f>
        <v>5472.5</v>
      </c>
      <c r="O530" s="28"/>
      <c r="P530" s="28"/>
      <c r="Q530" s="27" t="s">
        <v>2032</v>
      </c>
      <c r="R530" s="27"/>
      <c r="S530" s="29" t="s">
        <v>2032</v>
      </c>
      <c r="T530" s="29"/>
      <c r="U530" s="29"/>
      <c r="V530" s="29"/>
      <c r="W530" s="30" t="s">
        <v>2032</v>
      </c>
      <c r="X530" s="29" t="s">
        <v>2032</v>
      </c>
      <c r="Y530" s="29"/>
      <c r="Z530" s="29"/>
      <c r="AA530" s="29"/>
      <c r="AB530" s="27" t="s">
        <v>2300</v>
      </c>
      <c r="AC530" s="27"/>
      <c r="AD530" s="27"/>
      <c r="AE530" s="31">
        <f>5472.5</f>
        <v>5472.5</v>
      </c>
      <c r="AF530" s="31"/>
      <c r="AG530" s="31"/>
    </row>
    <row r="531" spans="1:33" s="1" customFormat="1" ht="18.75" customHeight="1">
      <c r="A531" s="24" t="s">
        <v>3517</v>
      </c>
      <c r="B531" s="25" t="s">
        <v>3518</v>
      </c>
      <c r="C531" s="25"/>
      <c r="D531" s="25"/>
      <c r="E531" s="26" t="s">
        <v>3519</v>
      </c>
      <c r="F531" s="26"/>
      <c r="G531" s="26"/>
      <c r="H531" s="26"/>
      <c r="I531" s="26"/>
      <c r="J531" s="27" t="s">
        <v>2056</v>
      </c>
      <c r="K531" s="27"/>
      <c r="L531" s="27"/>
      <c r="M531" s="27"/>
      <c r="N531" s="28">
        <f>300</f>
        <v>300</v>
      </c>
      <c r="O531" s="28"/>
      <c r="P531" s="28"/>
      <c r="Q531" s="27" t="s">
        <v>2032</v>
      </c>
      <c r="R531" s="27"/>
      <c r="S531" s="29" t="s">
        <v>2032</v>
      </c>
      <c r="T531" s="29"/>
      <c r="U531" s="29"/>
      <c r="V531" s="29"/>
      <c r="W531" s="30" t="s">
        <v>2032</v>
      </c>
      <c r="X531" s="29" t="s">
        <v>2032</v>
      </c>
      <c r="Y531" s="29"/>
      <c r="Z531" s="29"/>
      <c r="AA531" s="29"/>
      <c r="AB531" s="27" t="s">
        <v>2056</v>
      </c>
      <c r="AC531" s="27"/>
      <c r="AD531" s="27"/>
      <c r="AE531" s="31">
        <f>300</f>
        <v>300</v>
      </c>
      <c r="AF531" s="31"/>
      <c r="AG531" s="31"/>
    </row>
    <row r="532" spans="1:33" s="1" customFormat="1" ht="33" customHeight="1">
      <c r="A532" s="24" t="s">
        <v>3520</v>
      </c>
      <c r="B532" s="25" t="s">
        <v>3521</v>
      </c>
      <c r="C532" s="25"/>
      <c r="D532" s="25"/>
      <c r="E532" s="26" t="s">
        <v>3522</v>
      </c>
      <c r="F532" s="26"/>
      <c r="G532" s="26"/>
      <c r="H532" s="26"/>
      <c r="I532" s="26"/>
      <c r="J532" s="27" t="s">
        <v>2132</v>
      </c>
      <c r="K532" s="27"/>
      <c r="L532" s="27"/>
      <c r="M532" s="27"/>
      <c r="N532" s="28">
        <f>45696</f>
        <v>45696</v>
      </c>
      <c r="O532" s="28"/>
      <c r="P532" s="28"/>
      <c r="Q532" s="27" t="s">
        <v>2032</v>
      </c>
      <c r="R532" s="27"/>
      <c r="S532" s="29" t="s">
        <v>2032</v>
      </c>
      <c r="T532" s="29"/>
      <c r="U532" s="29"/>
      <c r="V532" s="29"/>
      <c r="W532" s="30" t="s">
        <v>2032</v>
      </c>
      <c r="X532" s="29" t="s">
        <v>2032</v>
      </c>
      <c r="Y532" s="29"/>
      <c r="Z532" s="29"/>
      <c r="AA532" s="29"/>
      <c r="AB532" s="27" t="s">
        <v>2132</v>
      </c>
      <c r="AC532" s="27"/>
      <c r="AD532" s="27"/>
      <c r="AE532" s="31">
        <f>45696</f>
        <v>45696</v>
      </c>
      <c r="AF532" s="31"/>
      <c r="AG532" s="31"/>
    </row>
    <row r="533" spans="1:33" s="1" customFormat="1" ht="18.75" customHeight="1">
      <c r="A533" s="24" t="s">
        <v>3523</v>
      </c>
      <c r="B533" s="25" t="s">
        <v>3524</v>
      </c>
      <c r="C533" s="25"/>
      <c r="D533" s="25"/>
      <c r="E533" s="26" t="s">
        <v>3525</v>
      </c>
      <c r="F533" s="26"/>
      <c r="G533" s="26"/>
      <c r="H533" s="26"/>
      <c r="I533" s="26"/>
      <c r="J533" s="27" t="s">
        <v>2059</v>
      </c>
      <c r="K533" s="27"/>
      <c r="L533" s="27"/>
      <c r="M533" s="27"/>
      <c r="N533" s="28">
        <f>5800</f>
        <v>5800</v>
      </c>
      <c r="O533" s="28"/>
      <c r="P533" s="28"/>
      <c r="Q533" s="27" t="s">
        <v>2032</v>
      </c>
      <c r="R533" s="27"/>
      <c r="S533" s="29" t="s">
        <v>2032</v>
      </c>
      <c r="T533" s="29"/>
      <c r="U533" s="29"/>
      <c r="V533" s="29"/>
      <c r="W533" s="30" t="s">
        <v>2032</v>
      </c>
      <c r="X533" s="29" t="s">
        <v>2032</v>
      </c>
      <c r="Y533" s="29"/>
      <c r="Z533" s="29"/>
      <c r="AA533" s="29"/>
      <c r="AB533" s="27" t="s">
        <v>2059</v>
      </c>
      <c r="AC533" s="27"/>
      <c r="AD533" s="27"/>
      <c r="AE533" s="31">
        <f>5800</f>
        <v>5800</v>
      </c>
      <c r="AF533" s="31"/>
      <c r="AG533" s="31"/>
    </row>
    <row r="534" spans="1:33" s="1" customFormat="1" ht="18.75" customHeight="1">
      <c r="A534" s="24" t="s">
        <v>3526</v>
      </c>
      <c r="B534" s="25" t="s">
        <v>2675</v>
      </c>
      <c r="C534" s="25"/>
      <c r="D534" s="25"/>
      <c r="E534" s="26" t="s">
        <v>3527</v>
      </c>
      <c r="F534" s="26"/>
      <c r="G534" s="26"/>
      <c r="H534" s="26"/>
      <c r="I534" s="26"/>
      <c r="J534" s="27" t="s">
        <v>2108</v>
      </c>
      <c r="K534" s="27"/>
      <c r="L534" s="27"/>
      <c r="M534" s="27"/>
      <c r="N534" s="28">
        <f>2665</f>
        <v>2665</v>
      </c>
      <c r="O534" s="28"/>
      <c r="P534" s="28"/>
      <c r="Q534" s="27" t="s">
        <v>2032</v>
      </c>
      <c r="R534" s="27"/>
      <c r="S534" s="29" t="s">
        <v>2032</v>
      </c>
      <c r="T534" s="29"/>
      <c r="U534" s="29"/>
      <c r="V534" s="29"/>
      <c r="W534" s="30" t="s">
        <v>2032</v>
      </c>
      <c r="X534" s="29" t="s">
        <v>2032</v>
      </c>
      <c r="Y534" s="29"/>
      <c r="Z534" s="29"/>
      <c r="AA534" s="29"/>
      <c r="AB534" s="27" t="s">
        <v>2108</v>
      </c>
      <c r="AC534" s="27"/>
      <c r="AD534" s="27"/>
      <c r="AE534" s="31">
        <f>2665</f>
        <v>2665</v>
      </c>
      <c r="AF534" s="31"/>
      <c r="AG534" s="31"/>
    </row>
    <row r="535" spans="1:33" s="1" customFormat="1" ht="18.75" customHeight="1">
      <c r="A535" s="24" t="s">
        <v>3528</v>
      </c>
      <c r="B535" s="25" t="s">
        <v>3529</v>
      </c>
      <c r="C535" s="25"/>
      <c r="D535" s="25"/>
      <c r="E535" s="26" t="s">
        <v>3530</v>
      </c>
      <c r="F535" s="26"/>
      <c r="G535" s="26"/>
      <c r="H535" s="26"/>
      <c r="I535" s="26"/>
      <c r="J535" s="27" t="s">
        <v>2057</v>
      </c>
      <c r="K535" s="27"/>
      <c r="L535" s="27"/>
      <c r="M535" s="27"/>
      <c r="N535" s="28">
        <f>325.82</f>
        <v>325.82</v>
      </c>
      <c r="O535" s="28"/>
      <c r="P535" s="28"/>
      <c r="Q535" s="27" t="s">
        <v>2032</v>
      </c>
      <c r="R535" s="27"/>
      <c r="S535" s="29" t="s">
        <v>2032</v>
      </c>
      <c r="T535" s="29"/>
      <c r="U535" s="29"/>
      <c r="V535" s="29"/>
      <c r="W535" s="30" t="s">
        <v>2032</v>
      </c>
      <c r="X535" s="29" t="s">
        <v>2032</v>
      </c>
      <c r="Y535" s="29"/>
      <c r="Z535" s="29"/>
      <c r="AA535" s="29"/>
      <c r="AB535" s="27" t="s">
        <v>2057</v>
      </c>
      <c r="AC535" s="27"/>
      <c r="AD535" s="27"/>
      <c r="AE535" s="31">
        <f>325.82</f>
        <v>325.82</v>
      </c>
      <c r="AF535" s="31"/>
      <c r="AG535" s="31"/>
    </row>
    <row r="536" spans="1:33" s="1" customFormat="1" ht="18.75" customHeight="1">
      <c r="A536" s="24" t="s">
        <v>3531</v>
      </c>
      <c r="B536" s="25" t="s">
        <v>3532</v>
      </c>
      <c r="C536" s="25"/>
      <c r="D536" s="25"/>
      <c r="E536" s="26" t="s">
        <v>3533</v>
      </c>
      <c r="F536" s="26"/>
      <c r="G536" s="26"/>
      <c r="H536" s="26"/>
      <c r="I536" s="26"/>
      <c r="J536" s="27" t="s">
        <v>2056</v>
      </c>
      <c r="K536" s="27"/>
      <c r="L536" s="27"/>
      <c r="M536" s="27"/>
      <c r="N536" s="28">
        <f>73.06</f>
        <v>73.06</v>
      </c>
      <c r="O536" s="28"/>
      <c r="P536" s="28"/>
      <c r="Q536" s="27" t="s">
        <v>2032</v>
      </c>
      <c r="R536" s="27"/>
      <c r="S536" s="29" t="s">
        <v>2032</v>
      </c>
      <c r="T536" s="29"/>
      <c r="U536" s="29"/>
      <c r="V536" s="29"/>
      <c r="W536" s="30" t="s">
        <v>2032</v>
      </c>
      <c r="X536" s="29" t="s">
        <v>2032</v>
      </c>
      <c r="Y536" s="29"/>
      <c r="Z536" s="29"/>
      <c r="AA536" s="29"/>
      <c r="AB536" s="27" t="s">
        <v>2056</v>
      </c>
      <c r="AC536" s="27"/>
      <c r="AD536" s="27"/>
      <c r="AE536" s="31">
        <f>73.06</f>
        <v>73.06</v>
      </c>
      <c r="AF536" s="31"/>
      <c r="AG536" s="31"/>
    </row>
    <row r="537" spans="1:33" s="1" customFormat="1" ht="18.75" customHeight="1">
      <c r="A537" s="24" t="s">
        <v>3534</v>
      </c>
      <c r="B537" s="25" t="s">
        <v>3535</v>
      </c>
      <c r="C537" s="25"/>
      <c r="D537" s="25"/>
      <c r="E537" s="26" t="s">
        <v>3536</v>
      </c>
      <c r="F537" s="26"/>
      <c r="G537" s="26"/>
      <c r="H537" s="26"/>
      <c r="I537" s="26"/>
      <c r="J537" s="27" t="s">
        <v>2056</v>
      </c>
      <c r="K537" s="27"/>
      <c r="L537" s="27"/>
      <c r="M537" s="27"/>
      <c r="N537" s="28">
        <f>791.78</f>
        <v>791.78</v>
      </c>
      <c r="O537" s="28"/>
      <c r="P537" s="28"/>
      <c r="Q537" s="27" t="s">
        <v>2032</v>
      </c>
      <c r="R537" s="27"/>
      <c r="S537" s="29" t="s">
        <v>2032</v>
      </c>
      <c r="T537" s="29"/>
      <c r="U537" s="29"/>
      <c r="V537" s="29"/>
      <c r="W537" s="30" t="s">
        <v>2032</v>
      </c>
      <c r="X537" s="29" t="s">
        <v>2032</v>
      </c>
      <c r="Y537" s="29"/>
      <c r="Z537" s="29"/>
      <c r="AA537" s="29"/>
      <c r="AB537" s="27" t="s">
        <v>2056</v>
      </c>
      <c r="AC537" s="27"/>
      <c r="AD537" s="27"/>
      <c r="AE537" s="31">
        <f>791.78</f>
        <v>791.78</v>
      </c>
      <c r="AF537" s="31"/>
      <c r="AG537" s="31"/>
    </row>
    <row r="538" spans="1:33" s="1" customFormat="1" ht="18.75" customHeight="1">
      <c r="A538" s="24" t="s">
        <v>3537</v>
      </c>
      <c r="B538" s="25" t="s">
        <v>3538</v>
      </c>
      <c r="C538" s="25"/>
      <c r="D538" s="25"/>
      <c r="E538" s="26" t="s">
        <v>3539</v>
      </c>
      <c r="F538" s="26"/>
      <c r="G538" s="26"/>
      <c r="H538" s="26"/>
      <c r="I538" s="26"/>
      <c r="J538" s="27" t="s">
        <v>2056</v>
      </c>
      <c r="K538" s="27"/>
      <c r="L538" s="27"/>
      <c r="M538" s="27"/>
      <c r="N538" s="28">
        <f>1320.42</f>
        <v>1320.42</v>
      </c>
      <c r="O538" s="28"/>
      <c r="P538" s="28"/>
      <c r="Q538" s="27" t="s">
        <v>2032</v>
      </c>
      <c r="R538" s="27"/>
      <c r="S538" s="29" t="s">
        <v>2032</v>
      </c>
      <c r="T538" s="29"/>
      <c r="U538" s="29"/>
      <c r="V538" s="29"/>
      <c r="W538" s="30" t="s">
        <v>2032</v>
      </c>
      <c r="X538" s="29" t="s">
        <v>2032</v>
      </c>
      <c r="Y538" s="29"/>
      <c r="Z538" s="29"/>
      <c r="AA538" s="29"/>
      <c r="AB538" s="27" t="s">
        <v>2056</v>
      </c>
      <c r="AC538" s="27"/>
      <c r="AD538" s="27"/>
      <c r="AE538" s="31">
        <f>1320.42</f>
        <v>1320.42</v>
      </c>
      <c r="AF538" s="31"/>
      <c r="AG538" s="31"/>
    </row>
    <row r="539" spans="1:33" s="1" customFormat="1" ht="18.75" customHeight="1">
      <c r="A539" s="24" t="s">
        <v>3540</v>
      </c>
      <c r="B539" s="25" t="s">
        <v>3541</v>
      </c>
      <c r="C539" s="25"/>
      <c r="D539" s="25"/>
      <c r="E539" s="26" t="s">
        <v>3542</v>
      </c>
      <c r="F539" s="26"/>
      <c r="G539" s="26"/>
      <c r="H539" s="26"/>
      <c r="I539" s="26"/>
      <c r="J539" s="27" t="s">
        <v>2056</v>
      </c>
      <c r="K539" s="27"/>
      <c r="L539" s="27"/>
      <c r="M539" s="27"/>
      <c r="N539" s="28">
        <f>1185.9</f>
        <v>1185.9</v>
      </c>
      <c r="O539" s="28"/>
      <c r="P539" s="28"/>
      <c r="Q539" s="27" t="s">
        <v>2032</v>
      </c>
      <c r="R539" s="27"/>
      <c r="S539" s="29" t="s">
        <v>2032</v>
      </c>
      <c r="T539" s="29"/>
      <c r="U539" s="29"/>
      <c r="V539" s="29"/>
      <c r="W539" s="30" t="s">
        <v>2032</v>
      </c>
      <c r="X539" s="29" t="s">
        <v>2032</v>
      </c>
      <c r="Y539" s="29"/>
      <c r="Z539" s="29"/>
      <c r="AA539" s="29"/>
      <c r="AB539" s="27" t="s">
        <v>2056</v>
      </c>
      <c r="AC539" s="27"/>
      <c r="AD539" s="27"/>
      <c r="AE539" s="31">
        <f>1185.9</f>
        <v>1185.9</v>
      </c>
      <c r="AF539" s="31"/>
      <c r="AG539" s="31"/>
    </row>
    <row r="540" spans="1:33" s="1" customFormat="1" ht="18.75" customHeight="1">
      <c r="A540" s="24" t="s">
        <v>3543</v>
      </c>
      <c r="B540" s="25" t="s">
        <v>3544</v>
      </c>
      <c r="C540" s="25"/>
      <c r="D540" s="25"/>
      <c r="E540" s="26" t="s">
        <v>3545</v>
      </c>
      <c r="F540" s="26"/>
      <c r="G540" s="26"/>
      <c r="H540" s="26"/>
      <c r="I540" s="26"/>
      <c r="J540" s="27" t="s">
        <v>2056</v>
      </c>
      <c r="K540" s="27"/>
      <c r="L540" s="27"/>
      <c r="M540" s="27"/>
      <c r="N540" s="28">
        <f>1583.56</f>
        <v>1583.56</v>
      </c>
      <c r="O540" s="28"/>
      <c r="P540" s="28"/>
      <c r="Q540" s="27" t="s">
        <v>2032</v>
      </c>
      <c r="R540" s="27"/>
      <c r="S540" s="29" t="s">
        <v>2032</v>
      </c>
      <c r="T540" s="29"/>
      <c r="U540" s="29"/>
      <c r="V540" s="29"/>
      <c r="W540" s="30" t="s">
        <v>2032</v>
      </c>
      <c r="X540" s="29" t="s">
        <v>2032</v>
      </c>
      <c r="Y540" s="29"/>
      <c r="Z540" s="29"/>
      <c r="AA540" s="29"/>
      <c r="AB540" s="27" t="s">
        <v>2056</v>
      </c>
      <c r="AC540" s="27"/>
      <c r="AD540" s="27"/>
      <c r="AE540" s="31">
        <f>1583.56</f>
        <v>1583.56</v>
      </c>
      <c r="AF540" s="31"/>
      <c r="AG540" s="31"/>
    </row>
    <row r="541" spans="1:33" s="1" customFormat="1" ht="18.75" customHeight="1">
      <c r="A541" s="24" t="s">
        <v>3546</v>
      </c>
      <c r="B541" s="25" t="s">
        <v>3547</v>
      </c>
      <c r="C541" s="25"/>
      <c r="D541" s="25"/>
      <c r="E541" s="26" t="s">
        <v>3548</v>
      </c>
      <c r="F541" s="26"/>
      <c r="G541" s="26"/>
      <c r="H541" s="26"/>
      <c r="I541" s="26"/>
      <c r="J541" s="27" t="s">
        <v>2058</v>
      </c>
      <c r="K541" s="27"/>
      <c r="L541" s="27"/>
      <c r="M541" s="27"/>
      <c r="N541" s="28">
        <f>511.44</f>
        <v>511.44</v>
      </c>
      <c r="O541" s="28"/>
      <c r="P541" s="28"/>
      <c r="Q541" s="27" t="s">
        <v>2032</v>
      </c>
      <c r="R541" s="27"/>
      <c r="S541" s="29" t="s">
        <v>2032</v>
      </c>
      <c r="T541" s="29"/>
      <c r="U541" s="29"/>
      <c r="V541" s="29"/>
      <c r="W541" s="30" t="s">
        <v>2032</v>
      </c>
      <c r="X541" s="29" t="s">
        <v>2032</v>
      </c>
      <c r="Y541" s="29"/>
      <c r="Z541" s="29"/>
      <c r="AA541" s="29"/>
      <c r="AB541" s="27" t="s">
        <v>2058</v>
      </c>
      <c r="AC541" s="27"/>
      <c r="AD541" s="27"/>
      <c r="AE541" s="31">
        <f>511.44</f>
        <v>511.44</v>
      </c>
      <c r="AF541" s="31"/>
      <c r="AG541" s="31"/>
    </row>
    <row r="542" spans="1:33" s="1" customFormat="1" ht="18.75" customHeight="1">
      <c r="A542" s="24" t="s">
        <v>3549</v>
      </c>
      <c r="B542" s="25" t="s">
        <v>3550</v>
      </c>
      <c r="C542" s="25"/>
      <c r="D542" s="25"/>
      <c r="E542" s="26" t="s">
        <v>3551</v>
      </c>
      <c r="F542" s="26"/>
      <c r="G542" s="26"/>
      <c r="H542" s="26"/>
      <c r="I542" s="26"/>
      <c r="J542" s="27" t="s">
        <v>2059</v>
      </c>
      <c r="K542" s="27"/>
      <c r="L542" s="27"/>
      <c r="M542" s="27"/>
      <c r="N542" s="28">
        <f>1000</f>
        <v>1000</v>
      </c>
      <c r="O542" s="28"/>
      <c r="P542" s="28"/>
      <c r="Q542" s="27" t="s">
        <v>2032</v>
      </c>
      <c r="R542" s="27"/>
      <c r="S542" s="29" t="s">
        <v>2032</v>
      </c>
      <c r="T542" s="29"/>
      <c r="U542" s="29"/>
      <c r="V542" s="29"/>
      <c r="W542" s="30" t="s">
        <v>2032</v>
      </c>
      <c r="X542" s="29" t="s">
        <v>2032</v>
      </c>
      <c r="Y542" s="29"/>
      <c r="Z542" s="29"/>
      <c r="AA542" s="29"/>
      <c r="AB542" s="27" t="s">
        <v>2059</v>
      </c>
      <c r="AC542" s="27"/>
      <c r="AD542" s="27"/>
      <c r="AE542" s="31">
        <f>1000</f>
        <v>1000</v>
      </c>
      <c r="AF542" s="31"/>
      <c r="AG542" s="31"/>
    </row>
    <row r="543" spans="1:33" s="1" customFormat="1" ht="18.75" customHeight="1">
      <c r="A543" s="24" t="s">
        <v>3552</v>
      </c>
      <c r="B543" s="25" t="s">
        <v>3553</v>
      </c>
      <c r="C543" s="25"/>
      <c r="D543" s="25"/>
      <c r="E543" s="26" t="s">
        <v>3554</v>
      </c>
      <c r="F543" s="26"/>
      <c r="G543" s="26"/>
      <c r="H543" s="26"/>
      <c r="I543" s="26"/>
      <c r="J543" s="27" t="s">
        <v>2056</v>
      </c>
      <c r="K543" s="27"/>
      <c r="L543" s="27"/>
      <c r="M543" s="27"/>
      <c r="N543" s="28">
        <f>2800</f>
        <v>2800</v>
      </c>
      <c r="O543" s="28"/>
      <c r="P543" s="28"/>
      <c r="Q543" s="27" t="s">
        <v>2032</v>
      </c>
      <c r="R543" s="27"/>
      <c r="S543" s="29" t="s">
        <v>2032</v>
      </c>
      <c r="T543" s="29"/>
      <c r="U543" s="29"/>
      <c r="V543" s="29"/>
      <c r="W543" s="30" t="s">
        <v>2032</v>
      </c>
      <c r="X543" s="29" t="s">
        <v>2032</v>
      </c>
      <c r="Y543" s="29"/>
      <c r="Z543" s="29"/>
      <c r="AA543" s="29"/>
      <c r="AB543" s="27" t="s">
        <v>2056</v>
      </c>
      <c r="AC543" s="27"/>
      <c r="AD543" s="27"/>
      <c r="AE543" s="31">
        <f>2800</f>
        <v>2800</v>
      </c>
      <c r="AF543" s="31"/>
      <c r="AG543" s="31"/>
    </row>
    <row r="544" spans="1:33" s="1" customFormat="1" ht="18.75" customHeight="1">
      <c r="A544" s="24" t="s">
        <v>3555</v>
      </c>
      <c r="B544" s="25" t="s">
        <v>3556</v>
      </c>
      <c r="C544" s="25"/>
      <c r="D544" s="25"/>
      <c r="E544" s="26" t="s">
        <v>3557</v>
      </c>
      <c r="F544" s="26"/>
      <c r="G544" s="26"/>
      <c r="H544" s="26"/>
      <c r="I544" s="26"/>
      <c r="J544" s="27" t="s">
        <v>2059</v>
      </c>
      <c r="K544" s="27"/>
      <c r="L544" s="27"/>
      <c r="M544" s="27"/>
      <c r="N544" s="28">
        <f>292.24</f>
        <v>292.24</v>
      </c>
      <c r="O544" s="28"/>
      <c r="P544" s="28"/>
      <c r="Q544" s="27" t="s">
        <v>2032</v>
      </c>
      <c r="R544" s="27"/>
      <c r="S544" s="29" t="s">
        <v>2032</v>
      </c>
      <c r="T544" s="29"/>
      <c r="U544" s="29"/>
      <c r="V544" s="29"/>
      <c r="W544" s="30" t="s">
        <v>2032</v>
      </c>
      <c r="X544" s="29" t="s">
        <v>2032</v>
      </c>
      <c r="Y544" s="29"/>
      <c r="Z544" s="29"/>
      <c r="AA544" s="29"/>
      <c r="AB544" s="27" t="s">
        <v>2059</v>
      </c>
      <c r="AC544" s="27"/>
      <c r="AD544" s="27"/>
      <c r="AE544" s="31">
        <f>292.24</f>
        <v>292.24</v>
      </c>
      <c r="AF544" s="31"/>
      <c r="AG544" s="31"/>
    </row>
    <row r="545" spans="1:33" s="1" customFormat="1" ht="18.75" customHeight="1">
      <c r="A545" s="24" t="s">
        <v>3558</v>
      </c>
      <c r="B545" s="25" t="s">
        <v>2483</v>
      </c>
      <c r="C545" s="25"/>
      <c r="D545" s="25"/>
      <c r="E545" s="26" t="s">
        <v>3559</v>
      </c>
      <c r="F545" s="26"/>
      <c r="G545" s="26"/>
      <c r="H545" s="26"/>
      <c r="I545" s="26"/>
      <c r="J545" s="27" t="s">
        <v>2057</v>
      </c>
      <c r="K545" s="27"/>
      <c r="L545" s="27"/>
      <c r="M545" s="27"/>
      <c r="N545" s="28">
        <f>860</f>
        <v>860</v>
      </c>
      <c r="O545" s="28"/>
      <c r="P545" s="28"/>
      <c r="Q545" s="27" t="s">
        <v>2032</v>
      </c>
      <c r="R545" s="27"/>
      <c r="S545" s="29" t="s">
        <v>2032</v>
      </c>
      <c r="T545" s="29"/>
      <c r="U545" s="29"/>
      <c r="V545" s="29"/>
      <c r="W545" s="30" t="s">
        <v>2032</v>
      </c>
      <c r="X545" s="29" t="s">
        <v>2032</v>
      </c>
      <c r="Y545" s="29"/>
      <c r="Z545" s="29"/>
      <c r="AA545" s="29"/>
      <c r="AB545" s="27" t="s">
        <v>2057</v>
      </c>
      <c r="AC545" s="27"/>
      <c r="AD545" s="27"/>
      <c r="AE545" s="31">
        <f>860</f>
        <v>860</v>
      </c>
      <c r="AF545" s="31"/>
      <c r="AG545" s="31"/>
    </row>
    <row r="546" spans="1:33" s="1" customFormat="1" ht="18.75" customHeight="1">
      <c r="A546" s="24" t="s">
        <v>3560</v>
      </c>
      <c r="B546" s="25" t="s">
        <v>2582</v>
      </c>
      <c r="C546" s="25"/>
      <c r="D546" s="25"/>
      <c r="E546" s="26" t="s">
        <v>3561</v>
      </c>
      <c r="F546" s="26"/>
      <c r="G546" s="26"/>
      <c r="H546" s="26"/>
      <c r="I546" s="26"/>
      <c r="J546" s="27" t="s">
        <v>2056</v>
      </c>
      <c r="K546" s="27"/>
      <c r="L546" s="27"/>
      <c r="M546" s="27"/>
      <c r="N546" s="28">
        <f>660</f>
        <v>660</v>
      </c>
      <c r="O546" s="28"/>
      <c r="P546" s="28"/>
      <c r="Q546" s="27" t="s">
        <v>2032</v>
      </c>
      <c r="R546" s="27"/>
      <c r="S546" s="29" t="s">
        <v>2032</v>
      </c>
      <c r="T546" s="29"/>
      <c r="U546" s="29"/>
      <c r="V546" s="29"/>
      <c r="W546" s="30" t="s">
        <v>2032</v>
      </c>
      <c r="X546" s="29" t="s">
        <v>2032</v>
      </c>
      <c r="Y546" s="29"/>
      <c r="Z546" s="29"/>
      <c r="AA546" s="29"/>
      <c r="AB546" s="27" t="s">
        <v>2056</v>
      </c>
      <c r="AC546" s="27"/>
      <c r="AD546" s="27"/>
      <c r="AE546" s="31">
        <f>660</f>
        <v>660</v>
      </c>
      <c r="AF546" s="31"/>
      <c r="AG546" s="31"/>
    </row>
    <row r="547" spans="1:33" s="1" customFormat="1" ht="33" customHeight="1">
      <c r="A547" s="24" t="s">
        <v>3562</v>
      </c>
      <c r="B547" s="25" t="s">
        <v>3563</v>
      </c>
      <c r="C547" s="25"/>
      <c r="D547" s="25"/>
      <c r="E547" s="26" t="s">
        <v>3564</v>
      </c>
      <c r="F547" s="26"/>
      <c r="G547" s="26"/>
      <c r="H547" s="26"/>
      <c r="I547" s="26"/>
      <c r="J547" s="27" t="s">
        <v>2056</v>
      </c>
      <c r="K547" s="27"/>
      <c r="L547" s="27"/>
      <c r="M547" s="27"/>
      <c r="N547" s="28">
        <f>1600</f>
        <v>1600</v>
      </c>
      <c r="O547" s="28"/>
      <c r="P547" s="28"/>
      <c r="Q547" s="27" t="s">
        <v>2032</v>
      </c>
      <c r="R547" s="27"/>
      <c r="S547" s="29" t="s">
        <v>2032</v>
      </c>
      <c r="T547" s="29"/>
      <c r="U547" s="29"/>
      <c r="V547" s="29"/>
      <c r="W547" s="30" t="s">
        <v>2032</v>
      </c>
      <c r="X547" s="29" t="s">
        <v>2032</v>
      </c>
      <c r="Y547" s="29"/>
      <c r="Z547" s="29"/>
      <c r="AA547" s="29"/>
      <c r="AB547" s="27" t="s">
        <v>2056</v>
      </c>
      <c r="AC547" s="27"/>
      <c r="AD547" s="27"/>
      <c r="AE547" s="31">
        <f>1600</f>
        <v>1600</v>
      </c>
      <c r="AF547" s="31"/>
      <c r="AG547" s="31"/>
    </row>
    <row r="548" spans="1:33" s="1" customFormat="1" ht="18.75" customHeight="1">
      <c r="A548" s="24" t="s">
        <v>3565</v>
      </c>
      <c r="B548" s="25" t="s">
        <v>3566</v>
      </c>
      <c r="C548" s="25"/>
      <c r="D548" s="25"/>
      <c r="E548" s="26" t="s">
        <v>3567</v>
      </c>
      <c r="F548" s="26"/>
      <c r="G548" s="26"/>
      <c r="H548" s="26"/>
      <c r="I548" s="26"/>
      <c r="J548" s="27" t="s">
        <v>2058</v>
      </c>
      <c r="K548" s="27"/>
      <c r="L548" s="27"/>
      <c r="M548" s="27"/>
      <c r="N548" s="28">
        <f>201</f>
        <v>201</v>
      </c>
      <c r="O548" s="28"/>
      <c r="P548" s="28"/>
      <c r="Q548" s="27" t="s">
        <v>2032</v>
      </c>
      <c r="R548" s="27"/>
      <c r="S548" s="29" t="s">
        <v>2032</v>
      </c>
      <c r="T548" s="29"/>
      <c r="U548" s="29"/>
      <c r="V548" s="29"/>
      <c r="W548" s="30" t="s">
        <v>2032</v>
      </c>
      <c r="X548" s="29" t="s">
        <v>2032</v>
      </c>
      <c r="Y548" s="29"/>
      <c r="Z548" s="29"/>
      <c r="AA548" s="29"/>
      <c r="AB548" s="27" t="s">
        <v>2058</v>
      </c>
      <c r="AC548" s="27"/>
      <c r="AD548" s="27"/>
      <c r="AE548" s="31">
        <f>201</f>
        <v>201</v>
      </c>
      <c r="AF548" s="31"/>
      <c r="AG548" s="31"/>
    </row>
    <row r="549" spans="1:33" s="1" customFormat="1" ht="18.75" customHeight="1">
      <c r="A549" s="24" t="s">
        <v>3568</v>
      </c>
      <c r="B549" s="25" t="s">
        <v>3569</v>
      </c>
      <c r="C549" s="25"/>
      <c r="D549" s="25"/>
      <c r="E549" s="26" t="s">
        <v>3570</v>
      </c>
      <c r="F549" s="26"/>
      <c r="G549" s="26"/>
      <c r="H549" s="26"/>
      <c r="I549" s="26"/>
      <c r="J549" s="27" t="s">
        <v>2056</v>
      </c>
      <c r="K549" s="27"/>
      <c r="L549" s="27"/>
      <c r="M549" s="27"/>
      <c r="N549" s="28">
        <f>12.45</f>
        <v>12.45</v>
      </c>
      <c r="O549" s="28"/>
      <c r="P549" s="28"/>
      <c r="Q549" s="27" t="s">
        <v>2032</v>
      </c>
      <c r="R549" s="27"/>
      <c r="S549" s="29" t="s">
        <v>2032</v>
      </c>
      <c r="T549" s="29"/>
      <c r="U549" s="29"/>
      <c r="V549" s="29"/>
      <c r="W549" s="30" t="s">
        <v>2032</v>
      </c>
      <c r="X549" s="29" t="s">
        <v>2032</v>
      </c>
      <c r="Y549" s="29"/>
      <c r="Z549" s="29"/>
      <c r="AA549" s="29"/>
      <c r="AB549" s="27" t="s">
        <v>2056</v>
      </c>
      <c r="AC549" s="27"/>
      <c r="AD549" s="27"/>
      <c r="AE549" s="31">
        <f>12.45</f>
        <v>12.45</v>
      </c>
      <c r="AF549" s="31"/>
      <c r="AG549" s="31"/>
    </row>
    <row r="550" spans="1:33" s="1" customFormat="1" ht="18.75" customHeight="1">
      <c r="A550" s="24" t="s">
        <v>3571</v>
      </c>
      <c r="B550" s="25" t="s">
        <v>3572</v>
      </c>
      <c r="C550" s="25"/>
      <c r="D550" s="25"/>
      <c r="E550" s="26" t="s">
        <v>3573</v>
      </c>
      <c r="F550" s="26"/>
      <c r="G550" s="26"/>
      <c r="H550" s="26"/>
      <c r="I550" s="26"/>
      <c r="J550" s="27" t="s">
        <v>2056</v>
      </c>
      <c r="K550" s="27"/>
      <c r="L550" s="27"/>
      <c r="M550" s="27"/>
      <c r="N550" s="28">
        <f>535.5</f>
        <v>535.5</v>
      </c>
      <c r="O550" s="28"/>
      <c r="P550" s="28"/>
      <c r="Q550" s="27" t="s">
        <v>2032</v>
      </c>
      <c r="R550" s="27"/>
      <c r="S550" s="29" t="s">
        <v>2032</v>
      </c>
      <c r="T550" s="29"/>
      <c r="U550" s="29"/>
      <c r="V550" s="29"/>
      <c r="W550" s="30" t="s">
        <v>2032</v>
      </c>
      <c r="X550" s="29" t="s">
        <v>2032</v>
      </c>
      <c r="Y550" s="29"/>
      <c r="Z550" s="29"/>
      <c r="AA550" s="29"/>
      <c r="AB550" s="27" t="s">
        <v>2056</v>
      </c>
      <c r="AC550" s="27"/>
      <c r="AD550" s="27"/>
      <c r="AE550" s="31">
        <f>535.5</f>
        <v>535.5</v>
      </c>
      <c r="AF550" s="31"/>
      <c r="AG550" s="31"/>
    </row>
    <row r="551" spans="1:33" s="1" customFormat="1" ht="18.75" customHeight="1">
      <c r="A551" s="24" t="s">
        <v>3574</v>
      </c>
      <c r="B551" s="25" t="s">
        <v>3575</v>
      </c>
      <c r="C551" s="25"/>
      <c r="D551" s="25"/>
      <c r="E551" s="26" t="s">
        <v>3576</v>
      </c>
      <c r="F551" s="26"/>
      <c r="G551" s="26"/>
      <c r="H551" s="26"/>
      <c r="I551" s="26"/>
      <c r="J551" s="27" t="s">
        <v>2065</v>
      </c>
      <c r="K551" s="27"/>
      <c r="L551" s="27"/>
      <c r="M551" s="27"/>
      <c r="N551" s="28">
        <f>7100</f>
        <v>7100</v>
      </c>
      <c r="O551" s="28"/>
      <c r="P551" s="28"/>
      <c r="Q551" s="27" t="s">
        <v>2032</v>
      </c>
      <c r="R551" s="27"/>
      <c r="S551" s="29" t="s">
        <v>2032</v>
      </c>
      <c r="T551" s="29"/>
      <c r="U551" s="29"/>
      <c r="V551" s="29"/>
      <c r="W551" s="30" t="s">
        <v>2032</v>
      </c>
      <c r="X551" s="29" t="s">
        <v>2032</v>
      </c>
      <c r="Y551" s="29"/>
      <c r="Z551" s="29"/>
      <c r="AA551" s="29"/>
      <c r="AB551" s="27" t="s">
        <v>2065</v>
      </c>
      <c r="AC551" s="27"/>
      <c r="AD551" s="27"/>
      <c r="AE551" s="31">
        <f>7100</f>
        <v>7100</v>
      </c>
      <c r="AF551" s="31"/>
      <c r="AG551" s="31"/>
    </row>
    <row r="552" spans="1:33" s="1" customFormat="1" ht="18.75" customHeight="1">
      <c r="A552" s="24" t="s">
        <v>3577</v>
      </c>
      <c r="B552" s="25" t="s">
        <v>3578</v>
      </c>
      <c r="C552" s="25"/>
      <c r="D552" s="25"/>
      <c r="E552" s="26" t="s">
        <v>3579</v>
      </c>
      <c r="F552" s="26"/>
      <c r="G552" s="26"/>
      <c r="H552" s="26"/>
      <c r="I552" s="26"/>
      <c r="J552" s="27" t="s">
        <v>2085</v>
      </c>
      <c r="K552" s="27"/>
      <c r="L552" s="27"/>
      <c r="M552" s="27"/>
      <c r="N552" s="28">
        <f>11280</f>
        <v>11280</v>
      </c>
      <c r="O552" s="28"/>
      <c r="P552" s="28"/>
      <c r="Q552" s="27" t="s">
        <v>2032</v>
      </c>
      <c r="R552" s="27"/>
      <c r="S552" s="29" t="s">
        <v>2032</v>
      </c>
      <c r="T552" s="29"/>
      <c r="U552" s="29"/>
      <c r="V552" s="29"/>
      <c r="W552" s="30" t="s">
        <v>2032</v>
      </c>
      <c r="X552" s="29" t="s">
        <v>2032</v>
      </c>
      <c r="Y552" s="29"/>
      <c r="Z552" s="29"/>
      <c r="AA552" s="29"/>
      <c r="AB552" s="27" t="s">
        <v>2085</v>
      </c>
      <c r="AC552" s="27"/>
      <c r="AD552" s="27"/>
      <c r="AE552" s="31">
        <f>11280</f>
        <v>11280</v>
      </c>
      <c r="AF552" s="31"/>
      <c r="AG552" s="31"/>
    </row>
    <row r="553" spans="1:33" s="1" customFormat="1" ht="46.5" customHeight="1">
      <c r="A553" s="24" t="s">
        <v>3580</v>
      </c>
      <c r="B553" s="25" t="s">
        <v>3581</v>
      </c>
      <c r="C553" s="25"/>
      <c r="D553" s="25"/>
      <c r="E553" s="26" t="s">
        <v>3582</v>
      </c>
      <c r="F553" s="26"/>
      <c r="G553" s="26"/>
      <c r="H553" s="26"/>
      <c r="I553" s="26"/>
      <c r="J553" s="27" t="s">
        <v>2056</v>
      </c>
      <c r="K553" s="27"/>
      <c r="L553" s="27"/>
      <c r="M553" s="27"/>
      <c r="N553" s="28">
        <f>1380</f>
        <v>1380</v>
      </c>
      <c r="O553" s="28"/>
      <c r="P553" s="28"/>
      <c r="Q553" s="27" t="s">
        <v>2032</v>
      </c>
      <c r="R553" s="27"/>
      <c r="S553" s="29" t="s">
        <v>2032</v>
      </c>
      <c r="T553" s="29"/>
      <c r="U553" s="29"/>
      <c r="V553" s="29"/>
      <c r="W553" s="30" t="s">
        <v>2032</v>
      </c>
      <c r="X553" s="29" t="s">
        <v>2032</v>
      </c>
      <c r="Y553" s="29"/>
      <c r="Z553" s="29"/>
      <c r="AA553" s="29"/>
      <c r="AB553" s="27" t="s">
        <v>2056</v>
      </c>
      <c r="AC553" s="27"/>
      <c r="AD553" s="27"/>
      <c r="AE553" s="31">
        <f>1380</f>
        <v>1380</v>
      </c>
      <c r="AF553" s="31"/>
      <c r="AG553" s="31"/>
    </row>
    <row r="554" spans="1:33" s="1" customFormat="1" ht="18.75" customHeight="1">
      <c r="A554" s="24" t="s">
        <v>3583</v>
      </c>
      <c r="B554" s="25" t="s">
        <v>3584</v>
      </c>
      <c r="C554" s="25"/>
      <c r="D554" s="25"/>
      <c r="E554" s="26" t="s">
        <v>3585</v>
      </c>
      <c r="F554" s="26"/>
      <c r="G554" s="26"/>
      <c r="H554" s="26"/>
      <c r="I554" s="26"/>
      <c r="J554" s="27" t="s">
        <v>2059</v>
      </c>
      <c r="K554" s="27"/>
      <c r="L554" s="27"/>
      <c r="M554" s="27"/>
      <c r="N554" s="28">
        <f>72</f>
        <v>72</v>
      </c>
      <c r="O554" s="28"/>
      <c r="P554" s="28"/>
      <c r="Q554" s="27" t="s">
        <v>2032</v>
      </c>
      <c r="R554" s="27"/>
      <c r="S554" s="29" t="s">
        <v>2032</v>
      </c>
      <c r="T554" s="29"/>
      <c r="U554" s="29"/>
      <c r="V554" s="29"/>
      <c r="W554" s="30" t="s">
        <v>2032</v>
      </c>
      <c r="X554" s="29" t="s">
        <v>2032</v>
      </c>
      <c r="Y554" s="29"/>
      <c r="Z554" s="29"/>
      <c r="AA554" s="29"/>
      <c r="AB554" s="27" t="s">
        <v>2059</v>
      </c>
      <c r="AC554" s="27"/>
      <c r="AD554" s="27"/>
      <c r="AE554" s="31">
        <f>72</f>
        <v>72</v>
      </c>
      <c r="AF554" s="31"/>
      <c r="AG554" s="31"/>
    </row>
    <row r="555" spans="1:33" s="1" customFormat="1" ht="18.75" customHeight="1">
      <c r="A555" s="24" t="s">
        <v>3586</v>
      </c>
      <c r="B555" s="25" t="s">
        <v>3587</v>
      </c>
      <c r="C555" s="25"/>
      <c r="D555" s="25"/>
      <c r="E555" s="26" t="s">
        <v>3588</v>
      </c>
      <c r="F555" s="26"/>
      <c r="G555" s="26"/>
      <c r="H555" s="26"/>
      <c r="I555" s="26"/>
      <c r="J555" s="27" t="s">
        <v>2063</v>
      </c>
      <c r="K555" s="27"/>
      <c r="L555" s="27"/>
      <c r="M555" s="27"/>
      <c r="N555" s="28">
        <f>760</f>
        <v>760</v>
      </c>
      <c r="O555" s="28"/>
      <c r="P555" s="28"/>
      <c r="Q555" s="27" t="s">
        <v>2032</v>
      </c>
      <c r="R555" s="27"/>
      <c r="S555" s="29" t="s">
        <v>2032</v>
      </c>
      <c r="T555" s="29"/>
      <c r="U555" s="29"/>
      <c r="V555" s="29"/>
      <c r="W555" s="30" t="s">
        <v>2032</v>
      </c>
      <c r="X555" s="29" t="s">
        <v>2032</v>
      </c>
      <c r="Y555" s="29"/>
      <c r="Z555" s="29"/>
      <c r="AA555" s="29"/>
      <c r="AB555" s="27" t="s">
        <v>2063</v>
      </c>
      <c r="AC555" s="27"/>
      <c r="AD555" s="27"/>
      <c r="AE555" s="31">
        <f>760</f>
        <v>760</v>
      </c>
      <c r="AF555" s="31"/>
      <c r="AG555" s="31"/>
    </row>
    <row r="556" spans="1:33" s="1" customFormat="1" ht="33" customHeight="1">
      <c r="A556" s="24" t="s">
        <v>3589</v>
      </c>
      <c r="B556" s="25" t="s">
        <v>3590</v>
      </c>
      <c r="C556" s="25"/>
      <c r="D556" s="25"/>
      <c r="E556" s="26" t="s">
        <v>3591</v>
      </c>
      <c r="F556" s="26"/>
      <c r="G556" s="26"/>
      <c r="H556" s="26"/>
      <c r="I556" s="26"/>
      <c r="J556" s="27" t="s">
        <v>2093</v>
      </c>
      <c r="K556" s="27"/>
      <c r="L556" s="27"/>
      <c r="M556" s="27"/>
      <c r="N556" s="28">
        <f>5475</f>
        <v>5475</v>
      </c>
      <c r="O556" s="28"/>
      <c r="P556" s="28"/>
      <c r="Q556" s="27" t="s">
        <v>2032</v>
      </c>
      <c r="R556" s="27"/>
      <c r="S556" s="29" t="s">
        <v>2032</v>
      </c>
      <c r="T556" s="29"/>
      <c r="U556" s="29"/>
      <c r="V556" s="29"/>
      <c r="W556" s="30" t="s">
        <v>2032</v>
      </c>
      <c r="X556" s="29" t="s">
        <v>2032</v>
      </c>
      <c r="Y556" s="29"/>
      <c r="Z556" s="29"/>
      <c r="AA556" s="29"/>
      <c r="AB556" s="27" t="s">
        <v>2093</v>
      </c>
      <c r="AC556" s="27"/>
      <c r="AD556" s="27"/>
      <c r="AE556" s="31">
        <f>5475</f>
        <v>5475</v>
      </c>
      <c r="AF556" s="31"/>
      <c r="AG556" s="31"/>
    </row>
    <row r="557" spans="1:33" s="1" customFormat="1" ht="18.75" customHeight="1">
      <c r="A557" s="24" t="s">
        <v>3592</v>
      </c>
      <c r="B557" s="25" t="s">
        <v>3593</v>
      </c>
      <c r="C557" s="25"/>
      <c r="D557" s="25"/>
      <c r="E557" s="26" t="s">
        <v>3594</v>
      </c>
      <c r="F557" s="26"/>
      <c r="G557" s="26"/>
      <c r="H557" s="26"/>
      <c r="I557" s="26"/>
      <c r="J557" s="27" t="s">
        <v>2060</v>
      </c>
      <c r="K557" s="27"/>
      <c r="L557" s="27"/>
      <c r="M557" s="27"/>
      <c r="N557" s="28">
        <f>410</f>
        <v>410</v>
      </c>
      <c r="O557" s="28"/>
      <c r="P557" s="28"/>
      <c r="Q557" s="27" t="s">
        <v>2032</v>
      </c>
      <c r="R557" s="27"/>
      <c r="S557" s="29" t="s">
        <v>2032</v>
      </c>
      <c r="T557" s="29"/>
      <c r="U557" s="29"/>
      <c r="V557" s="29"/>
      <c r="W557" s="30" t="s">
        <v>2032</v>
      </c>
      <c r="X557" s="29" t="s">
        <v>2032</v>
      </c>
      <c r="Y557" s="29"/>
      <c r="Z557" s="29"/>
      <c r="AA557" s="29"/>
      <c r="AB557" s="27" t="s">
        <v>2060</v>
      </c>
      <c r="AC557" s="27"/>
      <c r="AD557" s="27"/>
      <c r="AE557" s="31">
        <f>410</f>
        <v>410</v>
      </c>
      <c r="AF557" s="31"/>
      <c r="AG557" s="31"/>
    </row>
    <row r="558" spans="1:33" s="1" customFormat="1" ht="18.75" customHeight="1">
      <c r="A558" s="24" t="s">
        <v>3595</v>
      </c>
      <c r="B558" s="25" t="s">
        <v>3596</v>
      </c>
      <c r="C558" s="25"/>
      <c r="D558" s="25"/>
      <c r="E558" s="26" t="s">
        <v>3597</v>
      </c>
      <c r="F558" s="26"/>
      <c r="G558" s="26"/>
      <c r="H558" s="26"/>
      <c r="I558" s="26"/>
      <c r="J558" s="27" t="s">
        <v>2090</v>
      </c>
      <c r="K558" s="27"/>
      <c r="L558" s="27"/>
      <c r="M558" s="27"/>
      <c r="N558" s="28">
        <f>3851.4</f>
        <v>3851.4</v>
      </c>
      <c r="O558" s="28"/>
      <c r="P558" s="28"/>
      <c r="Q558" s="27" t="s">
        <v>2032</v>
      </c>
      <c r="R558" s="27"/>
      <c r="S558" s="29" t="s">
        <v>2032</v>
      </c>
      <c r="T558" s="29"/>
      <c r="U558" s="29"/>
      <c r="V558" s="29"/>
      <c r="W558" s="30" t="s">
        <v>2032</v>
      </c>
      <c r="X558" s="29" t="s">
        <v>2032</v>
      </c>
      <c r="Y558" s="29"/>
      <c r="Z558" s="29"/>
      <c r="AA558" s="29"/>
      <c r="AB558" s="27" t="s">
        <v>2090</v>
      </c>
      <c r="AC558" s="27"/>
      <c r="AD558" s="27"/>
      <c r="AE558" s="31">
        <f>3851.4</f>
        <v>3851.4</v>
      </c>
      <c r="AF558" s="31"/>
      <c r="AG558" s="31"/>
    </row>
    <row r="559" spans="1:33" s="1" customFormat="1" ht="18.75" customHeight="1">
      <c r="A559" s="24" t="s">
        <v>3598</v>
      </c>
      <c r="B559" s="25" t="s">
        <v>3599</v>
      </c>
      <c r="C559" s="25"/>
      <c r="D559" s="25"/>
      <c r="E559" s="26" t="s">
        <v>3600</v>
      </c>
      <c r="F559" s="26"/>
      <c r="G559" s="26"/>
      <c r="H559" s="26"/>
      <c r="I559" s="26"/>
      <c r="J559" s="27" t="s">
        <v>2064</v>
      </c>
      <c r="K559" s="27"/>
      <c r="L559" s="27"/>
      <c r="M559" s="27"/>
      <c r="N559" s="28">
        <f>657.45</f>
        <v>657.45</v>
      </c>
      <c r="O559" s="28"/>
      <c r="P559" s="28"/>
      <c r="Q559" s="27" t="s">
        <v>2032</v>
      </c>
      <c r="R559" s="27"/>
      <c r="S559" s="29" t="s">
        <v>2032</v>
      </c>
      <c r="T559" s="29"/>
      <c r="U559" s="29"/>
      <c r="V559" s="29"/>
      <c r="W559" s="30" t="s">
        <v>2032</v>
      </c>
      <c r="X559" s="29" t="s">
        <v>2032</v>
      </c>
      <c r="Y559" s="29"/>
      <c r="Z559" s="29"/>
      <c r="AA559" s="29"/>
      <c r="AB559" s="27" t="s">
        <v>2064</v>
      </c>
      <c r="AC559" s="27"/>
      <c r="AD559" s="27"/>
      <c r="AE559" s="31">
        <f>657.45</f>
        <v>657.45</v>
      </c>
      <c r="AF559" s="31"/>
      <c r="AG559" s="31"/>
    </row>
    <row r="560" spans="1:33" s="1" customFormat="1" ht="18.75" customHeight="1">
      <c r="A560" s="24" t="s">
        <v>3601</v>
      </c>
      <c r="B560" s="25" t="s">
        <v>3602</v>
      </c>
      <c r="C560" s="25"/>
      <c r="D560" s="25"/>
      <c r="E560" s="26" t="s">
        <v>3603</v>
      </c>
      <c r="F560" s="26"/>
      <c r="G560" s="26"/>
      <c r="H560" s="26"/>
      <c r="I560" s="26"/>
      <c r="J560" s="27" t="s">
        <v>2059</v>
      </c>
      <c r="K560" s="27"/>
      <c r="L560" s="27"/>
      <c r="M560" s="27"/>
      <c r="N560" s="28">
        <f>200</f>
        <v>200</v>
      </c>
      <c r="O560" s="28"/>
      <c r="P560" s="28"/>
      <c r="Q560" s="27" t="s">
        <v>2032</v>
      </c>
      <c r="R560" s="27"/>
      <c r="S560" s="29" t="s">
        <v>2032</v>
      </c>
      <c r="T560" s="29"/>
      <c r="U560" s="29"/>
      <c r="V560" s="29"/>
      <c r="W560" s="30" t="s">
        <v>2032</v>
      </c>
      <c r="X560" s="29" t="s">
        <v>2032</v>
      </c>
      <c r="Y560" s="29"/>
      <c r="Z560" s="29"/>
      <c r="AA560" s="29"/>
      <c r="AB560" s="27" t="s">
        <v>2059</v>
      </c>
      <c r="AC560" s="27"/>
      <c r="AD560" s="27"/>
      <c r="AE560" s="31">
        <f>200</f>
        <v>200</v>
      </c>
      <c r="AF560" s="31"/>
      <c r="AG560" s="31"/>
    </row>
    <row r="561" spans="1:33" s="1" customFormat="1" ht="18.75" customHeight="1">
      <c r="A561" s="24" t="s">
        <v>3604</v>
      </c>
      <c r="B561" s="25" t="s">
        <v>3605</v>
      </c>
      <c r="C561" s="25"/>
      <c r="D561" s="25"/>
      <c r="E561" s="26" t="s">
        <v>3606</v>
      </c>
      <c r="F561" s="26"/>
      <c r="G561" s="26"/>
      <c r="H561" s="26"/>
      <c r="I561" s="26"/>
      <c r="J561" s="27" t="s">
        <v>2061</v>
      </c>
      <c r="K561" s="27"/>
      <c r="L561" s="27"/>
      <c r="M561" s="27"/>
      <c r="N561" s="28">
        <f>1753.5</f>
        <v>1753.5</v>
      </c>
      <c r="O561" s="28"/>
      <c r="P561" s="28"/>
      <c r="Q561" s="27" t="s">
        <v>2032</v>
      </c>
      <c r="R561" s="27"/>
      <c r="S561" s="29" t="s">
        <v>2032</v>
      </c>
      <c r="T561" s="29"/>
      <c r="U561" s="29"/>
      <c r="V561" s="29"/>
      <c r="W561" s="30" t="s">
        <v>2032</v>
      </c>
      <c r="X561" s="29" t="s">
        <v>2032</v>
      </c>
      <c r="Y561" s="29"/>
      <c r="Z561" s="29"/>
      <c r="AA561" s="29"/>
      <c r="AB561" s="27" t="s">
        <v>2061</v>
      </c>
      <c r="AC561" s="27"/>
      <c r="AD561" s="27"/>
      <c r="AE561" s="31">
        <f>1753.5</f>
        <v>1753.5</v>
      </c>
      <c r="AF561" s="31"/>
      <c r="AG561" s="31"/>
    </row>
    <row r="562" spans="1:33" s="1" customFormat="1" ht="18.75" customHeight="1">
      <c r="A562" s="24" t="s">
        <v>3607</v>
      </c>
      <c r="B562" s="25" t="s">
        <v>3608</v>
      </c>
      <c r="C562" s="25"/>
      <c r="D562" s="25"/>
      <c r="E562" s="26" t="s">
        <v>3609</v>
      </c>
      <c r="F562" s="26"/>
      <c r="G562" s="26"/>
      <c r="H562" s="26"/>
      <c r="I562" s="26"/>
      <c r="J562" s="27" t="s">
        <v>2159</v>
      </c>
      <c r="K562" s="27"/>
      <c r="L562" s="27"/>
      <c r="M562" s="27"/>
      <c r="N562" s="28">
        <f>96200</f>
        <v>96200</v>
      </c>
      <c r="O562" s="28"/>
      <c r="P562" s="28"/>
      <c r="Q562" s="27" t="s">
        <v>2032</v>
      </c>
      <c r="R562" s="27"/>
      <c r="S562" s="29" t="s">
        <v>2032</v>
      </c>
      <c r="T562" s="29"/>
      <c r="U562" s="29"/>
      <c r="V562" s="29"/>
      <c r="W562" s="30" t="s">
        <v>2032</v>
      </c>
      <c r="X562" s="29" t="s">
        <v>2032</v>
      </c>
      <c r="Y562" s="29"/>
      <c r="Z562" s="29"/>
      <c r="AA562" s="29"/>
      <c r="AB562" s="27" t="s">
        <v>2159</v>
      </c>
      <c r="AC562" s="27"/>
      <c r="AD562" s="27"/>
      <c r="AE562" s="31">
        <f>96200</f>
        <v>96200</v>
      </c>
      <c r="AF562" s="31"/>
      <c r="AG562" s="31"/>
    </row>
    <row r="563" spans="1:33" s="1" customFormat="1" ht="18.75" customHeight="1">
      <c r="A563" s="24" t="s">
        <v>3610</v>
      </c>
      <c r="B563" s="25" t="s">
        <v>3611</v>
      </c>
      <c r="C563" s="25"/>
      <c r="D563" s="25"/>
      <c r="E563" s="26" t="s">
        <v>3612</v>
      </c>
      <c r="F563" s="26"/>
      <c r="G563" s="26"/>
      <c r="H563" s="26"/>
      <c r="I563" s="26"/>
      <c r="J563" s="27" t="s">
        <v>2063</v>
      </c>
      <c r="K563" s="27"/>
      <c r="L563" s="27"/>
      <c r="M563" s="27"/>
      <c r="N563" s="28">
        <f>8480</f>
        <v>8480</v>
      </c>
      <c r="O563" s="28"/>
      <c r="P563" s="28"/>
      <c r="Q563" s="27" t="s">
        <v>2032</v>
      </c>
      <c r="R563" s="27"/>
      <c r="S563" s="29" t="s">
        <v>2032</v>
      </c>
      <c r="T563" s="29"/>
      <c r="U563" s="29"/>
      <c r="V563" s="29"/>
      <c r="W563" s="30" t="s">
        <v>2032</v>
      </c>
      <c r="X563" s="29" t="s">
        <v>2032</v>
      </c>
      <c r="Y563" s="29"/>
      <c r="Z563" s="29"/>
      <c r="AA563" s="29"/>
      <c r="AB563" s="27" t="s">
        <v>2063</v>
      </c>
      <c r="AC563" s="27"/>
      <c r="AD563" s="27"/>
      <c r="AE563" s="31">
        <f>8480</f>
        <v>8480</v>
      </c>
      <c r="AF563" s="31"/>
      <c r="AG563" s="31"/>
    </row>
    <row r="564" spans="1:33" s="1" customFormat="1" ht="18.75" customHeight="1">
      <c r="A564" s="24" t="s">
        <v>3613</v>
      </c>
      <c r="B564" s="25" t="s">
        <v>2660</v>
      </c>
      <c r="C564" s="25"/>
      <c r="D564" s="25"/>
      <c r="E564" s="26" t="s">
        <v>3614</v>
      </c>
      <c r="F564" s="26"/>
      <c r="G564" s="26"/>
      <c r="H564" s="26"/>
      <c r="I564" s="26"/>
      <c r="J564" s="27" t="s">
        <v>2061</v>
      </c>
      <c r="K564" s="27"/>
      <c r="L564" s="27"/>
      <c r="M564" s="27"/>
      <c r="N564" s="28">
        <f>3540</f>
        <v>3540</v>
      </c>
      <c r="O564" s="28"/>
      <c r="P564" s="28"/>
      <c r="Q564" s="27" t="s">
        <v>2032</v>
      </c>
      <c r="R564" s="27"/>
      <c r="S564" s="29" t="s">
        <v>2032</v>
      </c>
      <c r="T564" s="29"/>
      <c r="U564" s="29"/>
      <c r="V564" s="29"/>
      <c r="W564" s="30" t="s">
        <v>2032</v>
      </c>
      <c r="X564" s="29" t="s">
        <v>2032</v>
      </c>
      <c r="Y564" s="29"/>
      <c r="Z564" s="29"/>
      <c r="AA564" s="29"/>
      <c r="AB564" s="27" t="s">
        <v>2061</v>
      </c>
      <c r="AC564" s="27"/>
      <c r="AD564" s="27"/>
      <c r="AE564" s="31">
        <f>3540</f>
        <v>3540</v>
      </c>
      <c r="AF564" s="31"/>
      <c r="AG564" s="31"/>
    </row>
    <row r="565" spans="1:33" s="1" customFormat="1" ht="18.75" customHeight="1">
      <c r="A565" s="24" t="s">
        <v>3615</v>
      </c>
      <c r="B565" s="25" t="s">
        <v>3616</v>
      </c>
      <c r="C565" s="25"/>
      <c r="D565" s="25"/>
      <c r="E565" s="26" t="s">
        <v>3617</v>
      </c>
      <c r="F565" s="26"/>
      <c r="G565" s="26"/>
      <c r="H565" s="26"/>
      <c r="I565" s="26"/>
      <c r="J565" s="27" t="s">
        <v>2056</v>
      </c>
      <c r="K565" s="27"/>
      <c r="L565" s="27"/>
      <c r="M565" s="27"/>
      <c r="N565" s="28">
        <f>73.06</f>
        <v>73.06</v>
      </c>
      <c r="O565" s="28"/>
      <c r="P565" s="28"/>
      <c r="Q565" s="27" t="s">
        <v>2032</v>
      </c>
      <c r="R565" s="27"/>
      <c r="S565" s="29" t="s">
        <v>2032</v>
      </c>
      <c r="T565" s="29"/>
      <c r="U565" s="29"/>
      <c r="V565" s="29"/>
      <c r="W565" s="30" t="s">
        <v>2032</v>
      </c>
      <c r="X565" s="29" t="s">
        <v>2032</v>
      </c>
      <c r="Y565" s="29"/>
      <c r="Z565" s="29"/>
      <c r="AA565" s="29"/>
      <c r="AB565" s="27" t="s">
        <v>2056</v>
      </c>
      <c r="AC565" s="27"/>
      <c r="AD565" s="27"/>
      <c r="AE565" s="31">
        <f>73.06</f>
        <v>73.06</v>
      </c>
      <c r="AF565" s="31"/>
      <c r="AG565" s="31"/>
    </row>
    <row r="566" spans="1:33" s="1" customFormat="1" ht="18.75" customHeight="1">
      <c r="A566" s="24" t="s">
        <v>3618</v>
      </c>
      <c r="B566" s="25" t="s">
        <v>3619</v>
      </c>
      <c r="C566" s="25"/>
      <c r="D566" s="25"/>
      <c r="E566" s="26" t="s">
        <v>3620</v>
      </c>
      <c r="F566" s="26"/>
      <c r="G566" s="26"/>
      <c r="H566" s="26"/>
      <c r="I566" s="26"/>
      <c r="J566" s="27" t="s">
        <v>2056</v>
      </c>
      <c r="K566" s="27"/>
      <c r="L566" s="27"/>
      <c r="M566" s="27"/>
      <c r="N566" s="28">
        <f>300</f>
        <v>300</v>
      </c>
      <c r="O566" s="28"/>
      <c r="P566" s="28"/>
      <c r="Q566" s="27" t="s">
        <v>2032</v>
      </c>
      <c r="R566" s="27"/>
      <c r="S566" s="29" t="s">
        <v>2032</v>
      </c>
      <c r="T566" s="29"/>
      <c r="U566" s="29"/>
      <c r="V566" s="29"/>
      <c r="W566" s="30" t="s">
        <v>2032</v>
      </c>
      <c r="X566" s="29" t="s">
        <v>2032</v>
      </c>
      <c r="Y566" s="29"/>
      <c r="Z566" s="29"/>
      <c r="AA566" s="29"/>
      <c r="AB566" s="27" t="s">
        <v>2056</v>
      </c>
      <c r="AC566" s="27"/>
      <c r="AD566" s="27"/>
      <c r="AE566" s="31">
        <f>300</f>
        <v>300</v>
      </c>
      <c r="AF566" s="31"/>
      <c r="AG566" s="31"/>
    </row>
    <row r="567" spans="1:33" s="1" customFormat="1" ht="18.75" customHeight="1">
      <c r="A567" s="24" t="s">
        <v>3621</v>
      </c>
      <c r="B567" s="25" t="s">
        <v>3622</v>
      </c>
      <c r="C567" s="25"/>
      <c r="D567" s="25"/>
      <c r="E567" s="26" t="s">
        <v>3623</v>
      </c>
      <c r="F567" s="26"/>
      <c r="G567" s="26"/>
      <c r="H567" s="26"/>
      <c r="I567" s="26"/>
      <c r="J567" s="27" t="s">
        <v>2056</v>
      </c>
      <c r="K567" s="27"/>
      <c r="L567" s="27"/>
      <c r="M567" s="27"/>
      <c r="N567" s="28">
        <f>2535.9</f>
        <v>2535.9</v>
      </c>
      <c r="O567" s="28"/>
      <c r="P567" s="28"/>
      <c r="Q567" s="27" t="s">
        <v>2032</v>
      </c>
      <c r="R567" s="27"/>
      <c r="S567" s="29" t="s">
        <v>2032</v>
      </c>
      <c r="T567" s="29"/>
      <c r="U567" s="29"/>
      <c r="V567" s="29"/>
      <c r="W567" s="30" t="s">
        <v>2032</v>
      </c>
      <c r="X567" s="29" t="s">
        <v>2032</v>
      </c>
      <c r="Y567" s="29"/>
      <c r="Z567" s="29"/>
      <c r="AA567" s="29"/>
      <c r="AB567" s="27" t="s">
        <v>2056</v>
      </c>
      <c r="AC567" s="27"/>
      <c r="AD567" s="27"/>
      <c r="AE567" s="31">
        <f>2535.9</f>
        <v>2535.9</v>
      </c>
      <c r="AF567" s="31"/>
      <c r="AG567" s="31"/>
    </row>
    <row r="568" spans="1:33" s="1" customFormat="1" ht="18.75" customHeight="1">
      <c r="A568" s="24" t="s">
        <v>3624</v>
      </c>
      <c r="B568" s="25" t="s">
        <v>3625</v>
      </c>
      <c r="C568" s="25"/>
      <c r="D568" s="25"/>
      <c r="E568" s="26" t="s">
        <v>3626</v>
      </c>
      <c r="F568" s="26"/>
      <c r="G568" s="26"/>
      <c r="H568" s="26"/>
      <c r="I568" s="26"/>
      <c r="J568" s="27" t="s">
        <v>2056</v>
      </c>
      <c r="K568" s="27"/>
      <c r="L568" s="27"/>
      <c r="M568" s="27"/>
      <c r="N568" s="28">
        <f>146.13</f>
        <v>146.13</v>
      </c>
      <c r="O568" s="28"/>
      <c r="P568" s="28"/>
      <c r="Q568" s="27" t="s">
        <v>2032</v>
      </c>
      <c r="R568" s="27"/>
      <c r="S568" s="29" t="s">
        <v>2032</v>
      </c>
      <c r="T568" s="29"/>
      <c r="U568" s="29"/>
      <c r="V568" s="29"/>
      <c r="W568" s="30" t="s">
        <v>2032</v>
      </c>
      <c r="X568" s="29" t="s">
        <v>2032</v>
      </c>
      <c r="Y568" s="29"/>
      <c r="Z568" s="29"/>
      <c r="AA568" s="29"/>
      <c r="AB568" s="27" t="s">
        <v>2056</v>
      </c>
      <c r="AC568" s="27"/>
      <c r="AD568" s="27"/>
      <c r="AE568" s="31">
        <f>146.13</f>
        <v>146.13</v>
      </c>
      <c r="AF568" s="31"/>
      <c r="AG568" s="31"/>
    </row>
    <row r="569" spans="1:33" s="1" customFormat="1" ht="18.75" customHeight="1">
      <c r="A569" s="24" t="s">
        <v>3627</v>
      </c>
      <c r="B569" s="25" t="s">
        <v>3628</v>
      </c>
      <c r="C569" s="25"/>
      <c r="D569" s="25"/>
      <c r="E569" s="26" t="s">
        <v>3629</v>
      </c>
      <c r="F569" s="26"/>
      <c r="G569" s="26"/>
      <c r="H569" s="26"/>
      <c r="I569" s="26"/>
      <c r="J569" s="27" t="s">
        <v>2056</v>
      </c>
      <c r="K569" s="27"/>
      <c r="L569" s="27"/>
      <c r="M569" s="27"/>
      <c r="N569" s="28">
        <f>146.12</f>
        <v>146.12</v>
      </c>
      <c r="O569" s="28"/>
      <c r="P569" s="28"/>
      <c r="Q569" s="27" t="s">
        <v>2032</v>
      </c>
      <c r="R569" s="27"/>
      <c r="S569" s="29" t="s">
        <v>2032</v>
      </c>
      <c r="T569" s="29"/>
      <c r="U569" s="29"/>
      <c r="V569" s="29"/>
      <c r="W569" s="30" t="s">
        <v>2032</v>
      </c>
      <c r="X569" s="29" t="s">
        <v>2032</v>
      </c>
      <c r="Y569" s="29"/>
      <c r="Z569" s="29"/>
      <c r="AA569" s="29"/>
      <c r="AB569" s="27" t="s">
        <v>2056</v>
      </c>
      <c r="AC569" s="27"/>
      <c r="AD569" s="27"/>
      <c r="AE569" s="31">
        <f>146.12</f>
        <v>146.12</v>
      </c>
      <c r="AF569" s="31"/>
      <c r="AG569" s="31"/>
    </row>
    <row r="570" spans="1:33" s="1" customFormat="1" ht="18.75" customHeight="1">
      <c r="A570" s="24" t="s">
        <v>3630</v>
      </c>
      <c r="B570" s="25" t="s">
        <v>2615</v>
      </c>
      <c r="C570" s="25"/>
      <c r="D570" s="25"/>
      <c r="E570" s="26" t="s">
        <v>3631</v>
      </c>
      <c r="F570" s="26"/>
      <c r="G570" s="26"/>
      <c r="H570" s="26"/>
      <c r="I570" s="26"/>
      <c r="J570" s="27" t="s">
        <v>2056</v>
      </c>
      <c r="K570" s="27"/>
      <c r="L570" s="27"/>
      <c r="M570" s="27"/>
      <c r="N570" s="28">
        <f>73.06</f>
        <v>73.06</v>
      </c>
      <c r="O570" s="28"/>
      <c r="P570" s="28"/>
      <c r="Q570" s="27" t="s">
        <v>2032</v>
      </c>
      <c r="R570" s="27"/>
      <c r="S570" s="29" t="s">
        <v>2032</v>
      </c>
      <c r="T570" s="29"/>
      <c r="U570" s="29"/>
      <c r="V570" s="29"/>
      <c r="W570" s="30" t="s">
        <v>2032</v>
      </c>
      <c r="X570" s="29" t="s">
        <v>2032</v>
      </c>
      <c r="Y570" s="29"/>
      <c r="Z570" s="29"/>
      <c r="AA570" s="29"/>
      <c r="AB570" s="27" t="s">
        <v>2056</v>
      </c>
      <c r="AC570" s="27"/>
      <c r="AD570" s="27"/>
      <c r="AE570" s="31">
        <f>73.06</f>
        <v>73.06</v>
      </c>
      <c r="AF570" s="31"/>
      <c r="AG570" s="31"/>
    </row>
    <row r="571" spans="1:33" s="1" customFormat="1" ht="33" customHeight="1">
      <c r="A571" s="24" t="s">
        <v>3632</v>
      </c>
      <c r="B571" s="25" t="s">
        <v>3633</v>
      </c>
      <c r="C571" s="25"/>
      <c r="D571" s="25"/>
      <c r="E571" s="26" t="s">
        <v>3634</v>
      </c>
      <c r="F571" s="26"/>
      <c r="G571" s="26"/>
      <c r="H571" s="26"/>
      <c r="I571" s="26"/>
      <c r="J571" s="27" t="s">
        <v>2056</v>
      </c>
      <c r="K571" s="27"/>
      <c r="L571" s="27"/>
      <c r="M571" s="27"/>
      <c r="N571" s="28">
        <f>1436</f>
        <v>1436</v>
      </c>
      <c r="O571" s="28"/>
      <c r="P571" s="28"/>
      <c r="Q571" s="27" t="s">
        <v>2032</v>
      </c>
      <c r="R571" s="27"/>
      <c r="S571" s="29" t="s">
        <v>2032</v>
      </c>
      <c r="T571" s="29"/>
      <c r="U571" s="29"/>
      <c r="V571" s="29"/>
      <c r="W571" s="30" t="s">
        <v>2032</v>
      </c>
      <c r="X571" s="29" t="s">
        <v>2032</v>
      </c>
      <c r="Y571" s="29"/>
      <c r="Z571" s="29"/>
      <c r="AA571" s="29"/>
      <c r="AB571" s="27" t="s">
        <v>2056</v>
      </c>
      <c r="AC571" s="27"/>
      <c r="AD571" s="27"/>
      <c r="AE571" s="31">
        <f>1436</f>
        <v>1436</v>
      </c>
      <c r="AF571" s="31"/>
      <c r="AG571" s="31"/>
    </row>
    <row r="572" spans="1:33" s="1" customFormat="1" ht="33" customHeight="1">
      <c r="A572" s="24" t="s">
        <v>3635</v>
      </c>
      <c r="B572" s="25" t="s">
        <v>3636</v>
      </c>
      <c r="C572" s="25"/>
      <c r="D572" s="25"/>
      <c r="E572" s="26" t="s">
        <v>3637</v>
      </c>
      <c r="F572" s="26"/>
      <c r="G572" s="26"/>
      <c r="H572" s="26"/>
      <c r="I572" s="26"/>
      <c r="J572" s="27" t="s">
        <v>2056</v>
      </c>
      <c r="K572" s="27"/>
      <c r="L572" s="27"/>
      <c r="M572" s="27"/>
      <c r="N572" s="28">
        <f>1189.11</f>
        <v>1189.11</v>
      </c>
      <c r="O572" s="28"/>
      <c r="P572" s="28"/>
      <c r="Q572" s="27" t="s">
        <v>2032</v>
      </c>
      <c r="R572" s="27"/>
      <c r="S572" s="29" t="s">
        <v>2032</v>
      </c>
      <c r="T572" s="29"/>
      <c r="U572" s="29"/>
      <c r="V572" s="29"/>
      <c r="W572" s="30" t="s">
        <v>2032</v>
      </c>
      <c r="X572" s="29" t="s">
        <v>2032</v>
      </c>
      <c r="Y572" s="29"/>
      <c r="Z572" s="29"/>
      <c r="AA572" s="29"/>
      <c r="AB572" s="27" t="s">
        <v>2056</v>
      </c>
      <c r="AC572" s="27"/>
      <c r="AD572" s="27"/>
      <c r="AE572" s="31">
        <f>1189.11</f>
        <v>1189.11</v>
      </c>
      <c r="AF572" s="31"/>
      <c r="AG572" s="31"/>
    </row>
    <row r="573" spans="1:33" s="1" customFormat="1" ht="61.5" customHeight="1">
      <c r="A573" s="24" t="s">
        <v>3638</v>
      </c>
      <c r="B573" s="25" t="s">
        <v>3639</v>
      </c>
      <c r="C573" s="25"/>
      <c r="D573" s="25"/>
      <c r="E573" s="26" t="s">
        <v>3640</v>
      </c>
      <c r="F573" s="26"/>
      <c r="G573" s="26"/>
      <c r="H573" s="26"/>
      <c r="I573" s="26"/>
      <c r="J573" s="27" t="s">
        <v>2057</v>
      </c>
      <c r="K573" s="27"/>
      <c r="L573" s="27"/>
      <c r="M573" s="27"/>
      <c r="N573" s="28">
        <f>3590</f>
        <v>3590</v>
      </c>
      <c r="O573" s="28"/>
      <c r="P573" s="28"/>
      <c r="Q573" s="27" t="s">
        <v>2032</v>
      </c>
      <c r="R573" s="27"/>
      <c r="S573" s="29" t="s">
        <v>2032</v>
      </c>
      <c r="T573" s="29"/>
      <c r="U573" s="29"/>
      <c r="V573" s="29"/>
      <c r="W573" s="30" t="s">
        <v>2032</v>
      </c>
      <c r="X573" s="29" t="s">
        <v>2032</v>
      </c>
      <c r="Y573" s="29"/>
      <c r="Z573" s="29"/>
      <c r="AA573" s="29"/>
      <c r="AB573" s="27" t="s">
        <v>2057</v>
      </c>
      <c r="AC573" s="27"/>
      <c r="AD573" s="27"/>
      <c r="AE573" s="31">
        <f>3590</f>
        <v>3590</v>
      </c>
      <c r="AF573" s="31"/>
      <c r="AG573" s="31"/>
    </row>
    <row r="574" spans="1:33" s="1" customFormat="1" ht="33" customHeight="1">
      <c r="A574" s="24" t="s">
        <v>3641</v>
      </c>
      <c r="B574" s="25" t="s">
        <v>3642</v>
      </c>
      <c r="C574" s="25"/>
      <c r="D574" s="25"/>
      <c r="E574" s="26" t="s">
        <v>3643</v>
      </c>
      <c r="F574" s="26"/>
      <c r="G574" s="26"/>
      <c r="H574" s="26"/>
      <c r="I574" s="26"/>
      <c r="J574" s="27" t="s">
        <v>2059</v>
      </c>
      <c r="K574" s="27"/>
      <c r="L574" s="27"/>
      <c r="M574" s="27"/>
      <c r="N574" s="28">
        <f>5389.88</f>
        <v>5389.88</v>
      </c>
      <c r="O574" s="28"/>
      <c r="P574" s="28"/>
      <c r="Q574" s="27" t="s">
        <v>2032</v>
      </c>
      <c r="R574" s="27"/>
      <c r="S574" s="29" t="s">
        <v>2032</v>
      </c>
      <c r="T574" s="29"/>
      <c r="U574" s="29"/>
      <c r="V574" s="29"/>
      <c r="W574" s="30" t="s">
        <v>2032</v>
      </c>
      <c r="X574" s="29" t="s">
        <v>2032</v>
      </c>
      <c r="Y574" s="29"/>
      <c r="Z574" s="29"/>
      <c r="AA574" s="29"/>
      <c r="AB574" s="27" t="s">
        <v>2059</v>
      </c>
      <c r="AC574" s="27"/>
      <c r="AD574" s="27"/>
      <c r="AE574" s="31">
        <f>5389.88</f>
        <v>5389.88</v>
      </c>
      <c r="AF574" s="31"/>
      <c r="AG574" s="31"/>
    </row>
    <row r="575" spans="1:33" s="1" customFormat="1" ht="33" customHeight="1">
      <c r="A575" s="24" t="s">
        <v>3644</v>
      </c>
      <c r="B575" s="25" t="s">
        <v>3645</v>
      </c>
      <c r="C575" s="25"/>
      <c r="D575" s="25"/>
      <c r="E575" s="26" t="s">
        <v>3646</v>
      </c>
      <c r="F575" s="26"/>
      <c r="G575" s="26"/>
      <c r="H575" s="26"/>
      <c r="I575" s="26"/>
      <c r="J575" s="27" t="s">
        <v>2061</v>
      </c>
      <c r="K575" s="27"/>
      <c r="L575" s="27"/>
      <c r="M575" s="27"/>
      <c r="N575" s="28">
        <f>8568</f>
        <v>8568</v>
      </c>
      <c r="O575" s="28"/>
      <c r="P575" s="28"/>
      <c r="Q575" s="27" t="s">
        <v>2032</v>
      </c>
      <c r="R575" s="27"/>
      <c r="S575" s="29" t="s">
        <v>2032</v>
      </c>
      <c r="T575" s="29"/>
      <c r="U575" s="29"/>
      <c r="V575" s="29"/>
      <c r="W575" s="30" t="s">
        <v>2032</v>
      </c>
      <c r="X575" s="29" t="s">
        <v>2032</v>
      </c>
      <c r="Y575" s="29"/>
      <c r="Z575" s="29"/>
      <c r="AA575" s="29"/>
      <c r="AB575" s="27" t="s">
        <v>2061</v>
      </c>
      <c r="AC575" s="27"/>
      <c r="AD575" s="27"/>
      <c r="AE575" s="31">
        <f>8568</f>
        <v>8568</v>
      </c>
      <c r="AF575" s="31"/>
      <c r="AG575" s="31"/>
    </row>
    <row r="576" spans="1:33" s="1" customFormat="1" ht="33" customHeight="1">
      <c r="A576" s="24" t="s">
        <v>3647</v>
      </c>
      <c r="B576" s="25" t="s">
        <v>3648</v>
      </c>
      <c r="C576" s="25"/>
      <c r="D576" s="25"/>
      <c r="E576" s="26" t="s">
        <v>3649</v>
      </c>
      <c r="F576" s="26"/>
      <c r="G576" s="26"/>
      <c r="H576" s="26"/>
      <c r="I576" s="26"/>
      <c r="J576" s="27" t="s">
        <v>2056</v>
      </c>
      <c r="K576" s="27"/>
      <c r="L576" s="27"/>
      <c r="M576" s="27"/>
      <c r="N576" s="28">
        <f>1632</f>
        <v>1632</v>
      </c>
      <c r="O576" s="28"/>
      <c r="P576" s="28"/>
      <c r="Q576" s="27" t="s">
        <v>2032</v>
      </c>
      <c r="R576" s="27"/>
      <c r="S576" s="29" t="s">
        <v>2032</v>
      </c>
      <c r="T576" s="29"/>
      <c r="U576" s="29"/>
      <c r="V576" s="29"/>
      <c r="W576" s="30" t="s">
        <v>2032</v>
      </c>
      <c r="X576" s="29" t="s">
        <v>2032</v>
      </c>
      <c r="Y576" s="29"/>
      <c r="Z576" s="29"/>
      <c r="AA576" s="29"/>
      <c r="AB576" s="27" t="s">
        <v>2056</v>
      </c>
      <c r="AC576" s="27"/>
      <c r="AD576" s="27"/>
      <c r="AE576" s="31">
        <f>1632</f>
        <v>1632</v>
      </c>
      <c r="AF576" s="31"/>
      <c r="AG576" s="31"/>
    </row>
    <row r="577" spans="1:33" s="1" customFormat="1" ht="33" customHeight="1">
      <c r="A577" s="24" t="s">
        <v>3650</v>
      </c>
      <c r="B577" s="25" t="s">
        <v>3651</v>
      </c>
      <c r="C577" s="25"/>
      <c r="D577" s="25"/>
      <c r="E577" s="26" t="s">
        <v>3649</v>
      </c>
      <c r="F577" s="26"/>
      <c r="G577" s="26"/>
      <c r="H577" s="26"/>
      <c r="I577" s="26"/>
      <c r="J577" s="27" t="s">
        <v>2056</v>
      </c>
      <c r="K577" s="27"/>
      <c r="L577" s="27"/>
      <c r="M577" s="27"/>
      <c r="N577" s="28">
        <f>1632</f>
        <v>1632</v>
      </c>
      <c r="O577" s="28"/>
      <c r="P577" s="28"/>
      <c r="Q577" s="27" t="s">
        <v>2032</v>
      </c>
      <c r="R577" s="27"/>
      <c r="S577" s="29" t="s">
        <v>2032</v>
      </c>
      <c r="T577" s="29"/>
      <c r="U577" s="29"/>
      <c r="V577" s="29"/>
      <c r="W577" s="30" t="s">
        <v>2032</v>
      </c>
      <c r="X577" s="29" t="s">
        <v>2032</v>
      </c>
      <c r="Y577" s="29"/>
      <c r="Z577" s="29"/>
      <c r="AA577" s="29"/>
      <c r="AB577" s="27" t="s">
        <v>2056</v>
      </c>
      <c r="AC577" s="27"/>
      <c r="AD577" s="27"/>
      <c r="AE577" s="31">
        <f>1632</f>
        <v>1632</v>
      </c>
      <c r="AF577" s="31"/>
      <c r="AG577" s="31"/>
    </row>
    <row r="578" spans="1:33" s="1" customFormat="1" ht="33" customHeight="1">
      <c r="A578" s="24" t="s">
        <v>3652</v>
      </c>
      <c r="B578" s="25" t="s">
        <v>3653</v>
      </c>
      <c r="C578" s="25"/>
      <c r="D578" s="25"/>
      <c r="E578" s="26" t="s">
        <v>3649</v>
      </c>
      <c r="F578" s="26"/>
      <c r="G578" s="26"/>
      <c r="H578" s="26"/>
      <c r="I578" s="26"/>
      <c r="J578" s="27" t="s">
        <v>2056</v>
      </c>
      <c r="K578" s="27"/>
      <c r="L578" s="27"/>
      <c r="M578" s="27"/>
      <c r="N578" s="28">
        <f>1632</f>
        <v>1632</v>
      </c>
      <c r="O578" s="28"/>
      <c r="P578" s="28"/>
      <c r="Q578" s="27" t="s">
        <v>2032</v>
      </c>
      <c r="R578" s="27"/>
      <c r="S578" s="29" t="s">
        <v>2032</v>
      </c>
      <c r="T578" s="29"/>
      <c r="U578" s="29"/>
      <c r="V578" s="29"/>
      <c r="W578" s="30" t="s">
        <v>2032</v>
      </c>
      <c r="X578" s="29" t="s">
        <v>2032</v>
      </c>
      <c r="Y578" s="29"/>
      <c r="Z578" s="29"/>
      <c r="AA578" s="29"/>
      <c r="AB578" s="27" t="s">
        <v>2056</v>
      </c>
      <c r="AC578" s="27"/>
      <c r="AD578" s="27"/>
      <c r="AE578" s="31">
        <f>1632</f>
        <v>1632</v>
      </c>
      <c r="AF578" s="31"/>
      <c r="AG578" s="31"/>
    </row>
    <row r="579" spans="1:33" s="1" customFormat="1" ht="33" customHeight="1">
      <c r="A579" s="24" t="s">
        <v>3654</v>
      </c>
      <c r="B579" s="25" t="s">
        <v>3655</v>
      </c>
      <c r="C579" s="25"/>
      <c r="D579" s="25"/>
      <c r="E579" s="26" t="s">
        <v>3649</v>
      </c>
      <c r="F579" s="26"/>
      <c r="G579" s="26"/>
      <c r="H579" s="26"/>
      <c r="I579" s="26"/>
      <c r="J579" s="27" t="s">
        <v>2056</v>
      </c>
      <c r="K579" s="27"/>
      <c r="L579" s="27"/>
      <c r="M579" s="27"/>
      <c r="N579" s="28">
        <f>1632</f>
        <v>1632</v>
      </c>
      <c r="O579" s="28"/>
      <c r="P579" s="28"/>
      <c r="Q579" s="27" t="s">
        <v>2032</v>
      </c>
      <c r="R579" s="27"/>
      <c r="S579" s="29" t="s">
        <v>2032</v>
      </c>
      <c r="T579" s="29"/>
      <c r="U579" s="29"/>
      <c r="V579" s="29"/>
      <c r="W579" s="30" t="s">
        <v>2032</v>
      </c>
      <c r="X579" s="29" t="s">
        <v>2032</v>
      </c>
      <c r="Y579" s="29"/>
      <c r="Z579" s="29"/>
      <c r="AA579" s="29"/>
      <c r="AB579" s="27" t="s">
        <v>2056</v>
      </c>
      <c r="AC579" s="27"/>
      <c r="AD579" s="27"/>
      <c r="AE579" s="31">
        <f>1632</f>
        <v>1632</v>
      </c>
      <c r="AF579" s="31"/>
      <c r="AG579" s="31"/>
    </row>
    <row r="580" spans="1:33" s="1" customFormat="1" ht="33" customHeight="1">
      <c r="A580" s="24" t="s">
        <v>3656</v>
      </c>
      <c r="B580" s="25" t="s">
        <v>3657</v>
      </c>
      <c r="C580" s="25"/>
      <c r="D580" s="25"/>
      <c r="E580" s="26" t="s">
        <v>3649</v>
      </c>
      <c r="F580" s="26"/>
      <c r="G580" s="26"/>
      <c r="H580" s="26"/>
      <c r="I580" s="26"/>
      <c r="J580" s="27" t="s">
        <v>2056</v>
      </c>
      <c r="K580" s="27"/>
      <c r="L580" s="27"/>
      <c r="M580" s="27"/>
      <c r="N580" s="28">
        <f>1632</f>
        <v>1632</v>
      </c>
      <c r="O580" s="28"/>
      <c r="P580" s="28"/>
      <c r="Q580" s="27" t="s">
        <v>2032</v>
      </c>
      <c r="R580" s="27"/>
      <c r="S580" s="29" t="s">
        <v>2032</v>
      </c>
      <c r="T580" s="29"/>
      <c r="U580" s="29"/>
      <c r="V580" s="29"/>
      <c r="W580" s="30" t="s">
        <v>2032</v>
      </c>
      <c r="X580" s="29" t="s">
        <v>2032</v>
      </c>
      <c r="Y580" s="29"/>
      <c r="Z580" s="29"/>
      <c r="AA580" s="29"/>
      <c r="AB580" s="27" t="s">
        <v>2056</v>
      </c>
      <c r="AC580" s="27"/>
      <c r="AD580" s="27"/>
      <c r="AE580" s="31">
        <f>1632</f>
        <v>1632</v>
      </c>
      <c r="AF580" s="31"/>
      <c r="AG580" s="31"/>
    </row>
    <row r="581" spans="1:33" s="1" customFormat="1" ht="18.75" customHeight="1">
      <c r="A581" s="24" t="s">
        <v>3658</v>
      </c>
      <c r="B581" s="25" t="s">
        <v>3659</v>
      </c>
      <c r="C581" s="25"/>
      <c r="D581" s="25"/>
      <c r="E581" s="26" t="s">
        <v>3660</v>
      </c>
      <c r="F581" s="26"/>
      <c r="G581" s="26"/>
      <c r="H581" s="26"/>
      <c r="I581" s="26"/>
      <c r="J581" s="27" t="s">
        <v>2065</v>
      </c>
      <c r="K581" s="27"/>
      <c r="L581" s="27"/>
      <c r="M581" s="27"/>
      <c r="N581" s="28">
        <f>7943.04</f>
        <v>7943.04</v>
      </c>
      <c r="O581" s="28"/>
      <c r="P581" s="28"/>
      <c r="Q581" s="27" t="s">
        <v>2032</v>
      </c>
      <c r="R581" s="27"/>
      <c r="S581" s="29" t="s">
        <v>2032</v>
      </c>
      <c r="T581" s="29"/>
      <c r="U581" s="29"/>
      <c r="V581" s="29"/>
      <c r="W581" s="30" t="s">
        <v>2032</v>
      </c>
      <c r="X581" s="29" t="s">
        <v>2032</v>
      </c>
      <c r="Y581" s="29"/>
      <c r="Z581" s="29"/>
      <c r="AA581" s="29"/>
      <c r="AB581" s="27" t="s">
        <v>2065</v>
      </c>
      <c r="AC581" s="27"/>
      <c r="AD581" s="27"/>
      <c r="AE581" s="31">
        <f>7943.04</f>
        <v>7943.04</v>
      </c>
      <c r="AF581" s="31"/>
      <c r="AG581" s="31"/>
    </row>
    <row r="582" spans="1:33" s="1" customFormat="1" ht="18.75" customHeight="1">
      <c r="A582" s="24" t="s">
        <v>3661</v>
      </c>
      <c r="B582" s="25" t="s">
        <v>3662</v>
      </c>
      <c r="C582" s="25"/>
      <c r="D582" s="25"/>
      <c r="E582" s="26" t="s">
        <v>3663</v>
      </c>
      <c r="F582" s="26"/>
      <c r="G582" s="26"/>
      <c r="H582" s="26"/>
      <c r="I582" s="26"/>
      <c r="J582" s="27" t="s">
        <v>2056</v>
      </c>
      <c r="K582" s="27"/>
      <c r="L582" s="27"/>
      <c r="M582" s="27"/>
      <c r="N582" s="28">
        <f>584.51</f>
        <v>584.51</v>
      </c>
      <c r="O582" s="28"/>
      <c r="P582" s="28"/>
      <c r="Q582" s="27" t="s">
        <v>2032</v>
      </c>
      <c r="R582" s="27"/>
      <c r="S582" s="29" t="s">
        <v>2032</v>
      </c>
      <c r="T582" s="29"/>
      <c r="U582" s="29"/>
      <c r="V582" s="29"/>
      <c r="W582" s="30" t="s">
        <v>2032</v>
      </c>
      <c r="X582" s="29" t="s">
        <v>2032</v>
      </c>
      <c r="Y582" s="29"/>
      <c r="Z582" s="29"/>
      <c r="AA582" s="29"/>
      <c r="AB582" s="27" t="s">
        <v>2056</v>
      </c>
      <c r="AC582" s="27"/>
      <c r="AD582" s="27"/>
      <c r="AE582" s="31">
        <f>584.51</f>
        <v>584.51</v>
      </c>
      <c r="AF582" s="31"/>
      <c r="AG582" s="31"/>
    </row>
    <row r="583" spans="1:33" s="1" customFormat="1" ht="33" customHeight="1">
      <c r="A583" s="24" t="s">
        <v>3664</v>
      </c>
      <c r="B583" s="25" t="s">
        <v>3665</v>
      </c>
      <c r="C583" s="25"/>
      <c r="D583" s="25"/>
      <c r="E583" s="26" t="s">
        <v>3666</v>
      </c>
      <c r="F583" s="26"/>
      <c r="G583" s="26"/>
      <c r="H583" s="26"/>
      <c r="I583" s="26"/>
      <c r="J583" s="27" t="s">
        <v>2056</v>
      </c>
      <c r="K583" s="27"/>
      <c r="L583" s="27"/>
      <c r="M583" s="27"/>
      <c r="N583" s="28">
        <f>354</f>
        <v>354</v>
      </c>
      <c r="O583" s="28"/>
      <c r="P583" s="28"/>
      <c r="Q583" s="27" t="s">
        <v>2032</v>
      </c>
      <c r="R583" s="27"/>
      <c r="S583" s="29" t="s">
        <v>2032</v>
      </c>
      <c r="T583" s="29"/>
      <c r="U583" s="29"/>
      <c r="V583" s="29"/>
      <c r="W583" s="30" t="s">
        <v>2032</v>
      </c>
      <c r="X583" s="29" t="s">
        <v>2032</v>
      </c>
      <c r="Y583" s="29"/>
      <c r="Z583" s="29"/>
      <c r="AA583" s="29"/>
      <c r="AB583" s="27" t="s">
        <v>2056</v>
      </c>
      <c r="AC583" s="27"/>
      <c r="AD583" s="27"/>
      <c r="AE583" s="31">
        <f>354</f>
        <v>354</v>
      </c>
      <c r="AF583" s="31"/>
      <c r="AG583" s="31"/>
    </row>
    <row r="584" spans="1:33" s="1" customFormat="1" ht="18.75" customHeight="1">
      <c r="A584" s="24" t="s">
        <v>3667</v>
      </c>
      <c r="B584" s="25" t="s">
        <v>3668</v>
      </c>
      <c r="C584" s="25"/>
      <c r="D584" s="25"/>
      <c r="E584" s="26" t="s">
        <v>3669</v>
      </c>
      <c r="F584" s="26"/>
      <c r="G584" s="26"/>
      <c r="H584" s="26"/>
      <c r="I584" s="26"/>
      <c r="J584" s="27" t="s">
        <v>2056</v>
      </c>
      <c r="K584" s="27"/>
      <c r="L584" s="27"/>
      <c r="M584" s="27"/>
      <c r="N584" s="28">
        <f>438.38</f>
        <v>438.38</v>
      </c>
      <c r="O584" s="28"/>
      <c r="P584" s="28"/>
      <c r="Q584" s="27" t="s">
        <v>2032</v>
      </c>
      <c r="R584" s="27"/>
      <c r="S584" s="29" t="s">
        <v>2032</v>
      </c>
      <c r="T584" s="29"/>
      <c r="U584" s="29"/>
      <c r="V584" s="29"/>
      <c r="W584" s="30" t="s">
        <v>2032</v>
      </c>
      <c r="X584" s="29" t="s">
        <v>2032</v>
      </c>
      <c r="Y584" s="29"/>
      <c r="Z584" s="29"/>
      <c r="AA584" s="29"/>
      <c r="AB584" s="27" t="s">
        <v>2056</v>
      </c>
      <c r="AC584" s="27"/>
      <c r="AD584" s="27"/>
      <c r="AE584" s="31">
        <f>438.38</f>
        <v>438.38</v>
      </c>
      <c r="AF584" s="31"/>
      <c r="AG584" s="31"/>
    </row>
    <row r="585" spans="1:33" s="1" customFormat="1" ht="18.75" customHeight="1">
      <c r="A585" s="24" t="s">
        <v>3670</v>
      </c>
      <c r="B585" s="25" t="s">
        <v>3671</v>
      </c>
      <c r="C585" s="25"/>
      <c r="D585" s="25"/>
      <c r="E585" s="26" t="s">
        <v>3672</v>
      </c>
      <c r="F585" s="26"/>
      <c r="G585" s="26"/>
      <c r="H585" s="26"/>
      <c r="I585" s="26"/>
      <c r="J585" s="27" t="s">
        <v>2056</v>
      </c>
      <c r="K585" s="27"/>
      <c r="L585" s="27"/>
      <c r="M585" s="27"/>
      <c r="N585" s="28">
        <f>73.06</f>
        <v>73.06</v>
      </c>
      <c r="O585" s="28"/>
      <c r="P585" s="28"/>
      <c r="Q585" s="27" t="s">
        <v>2032</v>
      </c>
      <c r="R585" s="27"/>
      <c r="S585" s="29" t="s">
        <v>2032</v>
      </c>
      <c r="T585" s="29"/>
      <c r="U585" s="29"/>
      <c r="V585" s="29"/>
      <c r="W585" s="30" t="s">
        <v>2032</v>
      </c>
      <c r="X585" s="29" t="s">
        <v>2032</v>
      </c>
      <c r="Y585" s="29"/>
      <c r="Z585" s="29"/>
      <c r="AA585" s="29"/>
      <c r="AB585" s="27" t="s">
        <v>2056</v>
      </c>
      <c r="AC585" s="27"/>
      <c r="AD585" s="27"/>
      <c r="AE585" s="31">
        <f>73.06</f>
        <v>73.06</v>
      </c>
      <c r="AF585" s="31"/>
      <c r="AG585" s="31"/>
    </row>
    <row r="586" spans="1:33" s="1" customFormat="1" ht="18.75" customHeight="1">
      <c r="A586" s="24" t="s">
        <v>3673</v>
      </c>
      <c r="B586" s="25" t="s">
        <v>3674</v>
      </c>
      <c r="C586" s="25"/>
      <c r="D586" s="25"/>
      <c r="E586" s="26" t="s">
        <v>3675</v>
      </c>
      <c r="F586" s="26"/>
      <c r="G586" s="26"/>
      <c r="H586" s="26"/>
      <c r="I586" s="26"/>
      <c r="J586" s="27" t="s">
        <v>2056</v>
      </c>
      <c r="K586" s="27"/>
      <c r="L586" s="27"/>
      <c r="M586" s="27"/>
      <c r="N586" s="28">
        <f>73.06</f>
        <v>73.06</v>
      </c>
      <c r="O586" s="28"/>
      <c r="P586" s="28"/>
      <c r="Q586" s="27" t="s">
        <v>2032</v>
      </c>
      <c r="R586" s="27"/>
      <c r="S586" s="29" t="s">
        <v>2032</v>
      </c>
      <c r="T586" s="29"/>
      <c r="U586" s="29"/>
      <c r="V586" s="29"/>
      <c r="W586" s="30" t="s">
        <v>2032</v>
      </c>
      <c r="X586" s="29" t="s">
        <v>2032</v>
      </c>
      <c r="Y586" s="29"/>
      <c r="Z586" s="29"/>
      <c r="AA586" s="29"/>
      <c r="AB586" s="27" t="s">
        <v>2056</v>
      </c>
      <c r="AC586" s="27"/>
      <c r="AD586" s="27"/>
      <c r="AE586" s="31">
        <f>73.06</f>
        <v>73.06</v>
      </c>
      <c r="AF586" s="31"/>
      <c r="AG586" s="31"/>
    </row>
    <row r="587" spans="1:33" s="1" customFormat="1" ht="18.75" customHeight="1">
      <c r="A587" s="24" t="s">
        <v>3676</v>
      </c>
      <c r="B587" s="25" t="s">
        <v>3677</v>
      </c>
      <c r="C587" s="25"/>
      <c r="D587" s="25"/>
      <c r="E587" s="26" t="s">
        <v>3675</v>
      </c>
      <c r="F587" s="26"/>
      <c r="G587" s="26"/>
      <c r="H587" s="26"/>
      <c r="I587" s="26"/>
      <c r="J587" s="27" t="s">
        <v>2056</v>
      </c>
      <c r="K587" s="27"/>
      <c r="L587" s="27"/>
      <c r="M587" s="27"/>
      <c r="N587" s="28">
        <f>73.06</f>
        <v>73.06</v>
      </c>
      <c r="O587" s="28"/>
      <c r="P587" s="28"/>
      <c r="Q587" s="27" t="s">
        <v>2032</v>
      </c>
      <c r="R587" s="27"/>
      <c r="S587" s="29" t="s">
        <v>2032</v>
      </c>
      <c r="T587" s="29"/>
      <c r="U587" s="29"/>
      <c r="V587" s="29"/>
      <c r="W587" s="30" t="s">
        <v>2032</v>
      </c>
      <c r="X587" s="29" t="s">
        <v>2032</v>
      </c>
      <c r="Y587" s="29"/>
      <c r="Z587" s="29"/>
      <c r="AA587" s="29"/>
      <c r="AB587" s="27" t="s">
        <v>2056</v>
      </c>
      <c r="AC587" s="27"/>
      <c r="AD587" s="27"/>
      <c r="AE587" s="31">
        <f>73.06</f>
        <v>73.06</v>
      </c>
      <c r="AF587" s="31"/>
      <c r="AG587" s="31"/>
    </row>
    <row r="588" spans="1:33" s="1" customFormat="1" ht="18.75" customHeight="1">
      <c r="A588" s="24" t="s">
        <v>3678</v>
      </c>
      <c r="B588" s="25" t="s">
        <v>3679</v>
      </c>
      <c r="C588" s="25"/>
      <c r="D588" s="25"/>
      <c r="E588" s="26" t="s">
        <v>3680</v>
      </c>
      <c r="F588" s="26"/>
      <c r="G588" s="26"/>
      <c r="H588" s="26"/>
      <c r="I588" s="26"/>
      <c r="J588" s="27" t="s">
        <v>2056</v>
      </c>
      <c r="K588" s="27"/>
      <c r="L588" s="27"/>
      <c r="M588" s="27"/>
      <c r="N588" s="28">
        <f>73.06</f>
        <v>73.06</v>
      </c>
      <c r="O588" s="28"/>
      <c r="P588" s="28"/>
      <c r="Q588" s="27" t="s">
        <v>2032</v>
      </c>
      <c r="R588" s="27"/>
      <c r="S588" s="29" t="s">
        <v>2032</v>
      </c>
      <c r="T588" s="29"/>
      <c r="U588" s="29"/>
      <c r="V588" s="29"/>
      <c r="W588" s="30" t="s">
        <v>2032</v>
      </c>
      <c r="X588" s="29" t="s">
        <v>2032</v>
      </c>
      <c r="Y588" s="29"/>
      <c r="Z588" s="29"/>
      <c r="AA588" s="29"/>
      <c r="AB588" s="27" t="s">
        <v>2056</v>
      </c>
      <c r="AC588" s="27"/>
      <c r="AD588" s="27"/>
      <c r="AE588" s="31">
        <f>73.06</f>
        <v>73.06</v>
      </c>
      <c r="AF588" s="31"/>
      <c r="AG588" s="31"/>
    </row>
    <row r="589" spans="1:33" s="1" customFormat="1" ht="18.75" customHeight="1">
      <c r="A589" s="24" t="s">
        <v>3681</v>
      </c>
      <c r="B589" s="25" t="s">
        <v>3682</v>
      </c>
      <c r="C589" s="25"/>
      <c r="D589" s="25"/>
      <c r="E589" s="26" t="s">
        <v>3683</v>
      </c>
      <c r="F589" s="26"/>
      <c r="G589" s="26"/>
      <c r="H589" s="26"/>
      <c r="I589" s="26"/>
      <c r="J589" s="27" t="s">
        <v>2062</v>
      </c>
      <c r="K589" s="27"/>
      <c r="L589" s="27"/>
      <c r="M589" s="27"/>
      <c r="N589" s="28">
        <f>4761.31</f>
        <v>4761.31</v>
      </c>
      <c r="O589" s="28"/>
      <c r="P589" s="28"/>
      <c r="Q589" s="27" t="s">
        <v>2032</v>
      </c>
      <c r="R589" s="27"/>
      <c r="S589" s="29" t="s">
        <v>2032</v>
      </c>
      <c r="T589" s="29"/>
      <c r="U589" s="29"/>
      <c r="V589" s="29"/>
      <c r="W589" s="30" t="s">
        <v>2032</v>
      </c>
      <c r="X589" s="29" t="s">
        <v>2032</v>
      </c>
      <c r="Y589" s="29"/>
      <c r="Z589" s="29"/>
      <c r="AA589" s="29"/>
      <c r="AB589" s="27" t="s">
        <v>2062</v>
      </c>
      <c r="AC589" s="27"/>
      <c r="AD589" s="27"/>
      <c r="AE589" s="31">
        <f>4761.31</f>
        <v>4761.31</v>
      </c>
      <c r="AF589" s="31"/>
      <c r="AG589" s="31"/>
    </row>
    <row r="590" spans="1:33" s="1" customFormat="1" ht="18.75" customHeight="1">
      <c r="A590" s="24" t="s">
        <v>3684</v>
      </c>
      <c r="B590" s="25" t="s">
        <v>3685</v>
      </c>
      <c r="C590" s="25"/>
      <c r="D590" s="25"/>
      <c r="E590" s="26" t="s">
        <v>3686</v>
      </c>
      <c r="F590" s="26"/>
      <c r="G590" s="26"/>
      <c r="H590" s="26"/>
      <c r="I590" s="26"/>
      <c r="J590" s="27" t="s">
        <v>2066</v>
      </c>
      <c r="K590" s="27"/>
      <c r="L590" s="27"/>
      <c r="M590" s="27"/>
      <c r="N590" s="28">
        <f>4554.33</f>
        <v>4554.33</v>
      </c>
      <c r="O590" s="28"/>
      <c r="P590" s="28"/>
      <c r="Q590" s="27" t="s">
        <v>2032</v>
      </c>
      <c r="R590" s="27"/>
      <c r="S590" s="29" t="s">
        <v>2032</v>
      </c>
      <c r="T590" s="29"/>
      <c r="U590" s="29"/>
      <c r="V590" s="29"/>
      <c r="W590" s="30" t="s">
        <v>2032</v>
      </c>
      <c r="X590" s="29" t="s">
        <v>2032</v>
      </c>
      <c r="Y590" s="29"/>
      <c r="Z590" s="29"/>
      <c r="AA590" s="29"/>
      <c r="AB590" s="27" t="s">
        <v>2066</v>
      </c>
      <c r="AC590" s="27"/>
      <c r="AD590" s="27"/>
      <c r="AE590" s="31">
        <f>4554.33</f>
        <v>4554.33</v>
      </c>
      <c r="AF590" s="31"/>
      <c r="AG590" s="31"/>
    </row>
    <row r="591" spans="1:33" s="1" customFormat="1" ht="18.75" customHeight="1">
      <c r="A591" s="24" t="s">
        <v>3687</v>
      </c>
      <c r="B591" s="25" t="s">
        <v>3688</v>
      </c>
      <c r="C591" s="25"/>
      <c r="D591" s="25"/>
      <c r="E591" s="26" t="s">
        <v>3689</v>
      </c>
      <c r="F591" s="26"/>
      <c r="G591" s="26"/>
      <c r="H591" s="26"/>
      <c r="I591" s="26"/>
      <c r="J591" s="27" t="s">
        <v>2056</v>
      </c>
      <c r="K591" s="27"/>
      <c r="L591" s="27"/>
      <c r="M591" s="27"/>
      <c r="N591" s="28">
        <f>219.19</f>
        <v>219.19</v>
      </c>
      <c r="O591" s="28"/>
      <c r="P591" s="28"/>
      <c r="Q591" s="27" t="s">
        <v>2032</v>
      </c>
      <c r="R591" s="27"/>
      <c r="S591" s="29" t="s">
        <v>2032</v>
      </c>
      <c r="T591" s="29"/>
      <c r="U591" s="29"/>
      <c r="V591" s="29"/>
      <c r="W591" s="30" t="s">
        <v>2032</v>
      </c>
      <c r="X591" s="29" t="s">
        <v>2032</v>
      </c>
      <c r="Y591" s="29"/>
      <c r="Z591" s="29"/>
      <c r="AA591" s="29"/>
      <c r="AB591" s="27" t="s">
        <v>2056</v>
      </c>
      <c r="AC591" s="27"/>
      <c r="AD591" s="27"/>
      <c r="AE591" s="31">
        <f>219.19</f>
        <v>219.19</v>
      </c>
      <c r="AF591" s="31"/>
      <c r="AG591" s="31"/>
    </row>
    <row r="592" spans="1:33" s="1" customFormat="1" ht="18.75" customHeight="1">
      <c r="A592" s="24" t="s">
        <v>3690</v>
      </c>
      <c r="B592" s="25" t="s">
        <v>3691</v>
      </c>
      <c r="C592" s="25"/>
      <c r="D592" s="25"/>
      <c r="E592" s="26" t="s">
        <v>3692</v>
      </c>
      <c r="F592" s="26"/>
      <c r="G592" s="26"/>
      <c r="H592" s="26"/>
      <c r="I592" s="26"/>
      <c r="J592" s="27" t="s">
        <v>2056</v>
      </c>
      <c r="K592" s="27"/>
      <c r="L592" s="27"/>
      <c r="M592" s="27"/>
      <c r="N592" s="28">
        <f>73.06</f>
        <v>73.06</v>
      </c>
      <c r="O592" s="28"/>
      <c r="P592" s="28"/>
      <c r="Q592" s="27" t="s">
        <v>2032</v>
      </c>
      <c r="R592" s="27"/>
      <c r="S592" s="29" t="s">
        <v>2032</v>
      </c>
      <c r="T592" s="29"/>
      <c r="U592" s="29"/>
      <c r="V592" s="29"/>
      <c r="W592" s="30" t="s">
        <v>2032</v>
      </c>
      <c r="X592" s="29" t="s">
        <v>2032</v>
      </c>
      <c r="Y592" s="29"/>
      <c r="Z592" s="29"/>
      <c r="AA592" s="29"/>
      <c r="AB592" s="27" t="s">
        <v>2056</v>
      </c>
      <c r="AC592" s="27"/>
      <c r="AD592" s="27"/>
      <c r="AE592" s="31">
        <f>73.06</f>
        <v>73.06</v>
      </c>
      <c r="AF592" s="31"/>
      <c r="AG592" s="31"/>
    </row>
    <row r="593" spans="1:33" s="1" customFormat="1" ht="18.75" customHeight="1">
      <c r="A593" s="24" t="s">
        <v>3693</v>
      </c>
      <c r="B593" s="25" t="s">
        <v>3694</v>
      </c>
      <c r="C593" s="25"/>
      <c r="D593" s="25"/>
      <c r="E593" s="26" t="s">
        <v>3695</v>
      </c>
      <c r="F593" s="26"/>
      <c r="G593" s="26"/>
      <c r="H593" s="26"/>
      <c r="I593" s="26"/>
      <c r="J593" s="27" t="s">
        <v>2062</v>
      </c>
      <c r="K593" s="27"/>
      <c r="L593" s="27"/>
      <c r="M593" s="27"/>
      <c r="N593" s="28">
        <f>2415.14</f>
        <v>2415.14</v>
      </c>
      <c r="O593" s="28"/>
      <c r="P593" s="28"/>
      <c r="Q593" s="27" t="s">
        <v>2032</v>
      </c>
      <c r="R593" s="27"/>
      <c r="S593" s="29" t="s">
        <v>2032</v>
      </c>
      <c r="T593" s="29"/>
      <c r="U593" s="29"/>
      <c r="V593" s="29"/>
      <c r="W593" s="30" t="s">
        <v>2032</v>
      </c>
      <c r="X593" s="29" t="s">
        <v>2032</v>
      </c>
      <c r="Y593" s="29"/>
      <c r="Z593" s="29"/>
      <c r="AA593" s="29"/>
      <c r="AB593" s="27" t="s">
        <v>2062</v>
      </c>
      <c r="AC593" s="27"/>
      <c r="AD593" s="27"/>
      <c r="AE593" s="31">
        <f>2415.14</f>
        <v>2415.14</v>
      </c>
      <c r="AF593" s="31"/>
      <c r="AG593" s="31"/>
    </row>
    <row r="594" spans="1:33" s="1" customFormat="1" ht="46.5" customHeight="1">
      <c r="A594" s="24" t="s">
        <v>3696</v>
      </c>
      <c r="B594" s="25" t="s">
        <v>3697</v>
      </c>
      <c r="C594" s="25"/>
      <c r="D594" s="25"/>
      <c r="E594" s="26" t="s">
        <v>3698</v>
      </c>
      <c r="F594" s="26"/>
      <c r="G594" s="26"/>
      <c r="H594" s="26"/>
      <c r="I594" s="26"/>
      <c r="J594" s="27" t="s">
        <v>2056</v>
      </c>
      <c r="K594" s="27"/>
      <c r="L594" s="27"/>
      <c r="M594" s="27"/>
      <c r="N594" s="28">
        <f>325</f>
        <v>325</v>
      </c>
      <c r="O594" s="28"/>
      <c r="P594" s="28"/>
      <c r="Q594" s="27" t="s">
        <v>2032</v>
      </c>
      <c r="R594" s="27"/>
      <c r="S594" s="29" t="s">
        <v>2032</v>
      </c>
      <c r="T594" s="29"/>
      <c r="U594" s="29"/>
      <c r="V594" s="29"/>
      <c r="W594" s="30" t="s">
        <v>2032</v>
      </c>
      <c r="X594" s="29" t="s">
        <v>2032</v>
      </c>
      <c r="Y594" s="29"/>
      <c r="Z594" s="29"/>
      <c r="AA594" s="29"/>
      <c r="AB594" s="27" t="s">
        <v>2056</v>
      </c>
      <c r="AC594" s="27"/>
      <c r="AD594" s="27"/>
      <c r="AE594" s="31">
        <f>325</f>
        <v>325</v>
      </c>
      <c r="AF594" s="31"/>
      <c r="AG594" s="31"/>
    </row>
    <row r="595" spans="1:33" s="1" customFormat="1" ht="18.75" customHeight="1">
      <c r="A595" s="24" t="s">
        <v>3699</v>
      </c>
      <c r="B595" s="25" t="s">
        <v>3700</v>
      </c>
      <c r="C595" s="25"/>
      <c r="D595" s="25"/>
      <c r="E595" s="26" t="s">
        <v>3701</v>
      </c>
      <c r="F595" s="26"/>
      <c r="G595" s="26"/>
      <c r="H595" s="26"/>
      <c r="I595" s="26"/>
      <c r="J595" s="27" t="s">
        <v>2056</v>
      </c>
      <c r="K595" s="27"/>
      <c r="L595" s="27"/>
      <c r="M595" s="27"/>
      <c r="N595" s="28">
        <f>73.06</f>
        <v>73.06</v>
      </c>
      <c r="O595" s="28"/>
      <c r="P595" s="28"/>
      <c r="Q595" s="27" t="s">
        <v>2032</v>
      </c>
      <c r="R595" s="27"/>
      <c r="S595" s="29" t="s">
        <v>2032</v>
      </c>
      <c r="T595" s="29"/>
      <c r="U595" s="29"/>
      <c r="V595" s="29"/>
      <c r="W595" s="30" t="s">
        <v>2032</v>
      </c>
      <c r="X595" s="29" t="s">
        <v>2032</v>
      </c>
      <c r="Y595" s="29"/>
      <c r="Z595" s="29"/>
      <c r="AA595" s="29"/>
      <c r="AB595" s="27" t="s">
        <v>2056</v>
      </c>
      <c r="AC595" s="27"/>
      <c r="AD595" s="27"/>
      <c r="AE595" s="31">
        <f>73.06</f>
        <v>73.06</v>
      </c>
      <c r="AF595" s="31"/>
      <c r="AG595" s="31"/>
    </row>
    <row r="596" spans="1:33" s="1" customFormat="1" ht="18.75" customHeight="1">
      <c r="A596" s="24" t="s">
        <v>3702</v>
      </c>
      <c r="B596" s="25" t="s">
        <v>3703</v>
      </c>
      <c r="C596" s="25"/>
      <c r="D596" s="25"/>
      <c r="E596" s="26" t="s">
        <v>3704</v>
      </c>
      <c r="F596" s="26"/>
      <c r="G596" s="26"/>
      <c r="H596" s="26"/>
      <c r="I596" s="26"/>
      <c r="J596" s="27" t="s">
        <v>2056</v>
      </c>
      <c r="K596" s="27"/>
      <c r="L596" s="27"/>
      <c r="M596" s="27"/>
      <c r="N596" s="28">
        <f>73.06</f>
        <v>73.06</v>
      </c>
      <c r="O596" s="28"/>
      <c r="P596" s="28"/>
      <c r="Q596" s="27" t="s">
        <v>2032</v>
      </c>
      <c r="R596" s="27"/>
      <c r="S596" s="29" t="s">
        <v>2032</v>
      </c>
      <c r="T596" s="29"/>
      <c r="U596" s="29"/>
      <c r="V596" s="29"/>
      <c r="W596" s="30" t="s">
        <v>2032</v>
      </c>
      <c r="X596" s="29" t="s">
        <v>2032</v>
      </c>
      <c r="Y596" s="29"/>
      <c r="Z596" s="29"/>
      <c r="AA596" s="29"/>
      <c r="AB596" s="27" t="s">
        <v>2056</v>
      </c>
      <c r="AC596" s="27"/>
      <c r="AD596" s="27"/>
      <c r="AE596" s="31">
        <f>73.06</f>
        <v>73.06</v>
      </c>
      <c r="AF596" s="31"/>
      <c r="AG596" s="31"/>
    </row>
    <row r="597" spans="1:33" s="1" customFormat="1" ht="18.75" customHeight="1">
      <c r="A597" s="24" t="s">
        <v>3705</v>
      </c>
      <c r="B597" s="25" t="s">
        <v>3706</v>
      </c>
      <c r="C597" s="25"/>
      <c r="D597" s="25"/>
      <c r="E597" s="26" t="s">
        <v>3707</v>
      </c>
      <c r="F597" s="26"/>
      <c r="G597" s="26"/>
      <c r="H597" s="26"/>
      <c r="I597" s="26"/>
      <c r="J597" s="27" t="s">
        <v>2056</v>
      </c>
      <c r="K597" s="27"/>
      <c r="L597" s="27"/>
      <c r="M597" s="27"/>
      <c r="N597" s="28">
        <f>73.06</f>
        <v>73.06</v>
      </c>
      <c r="O597" s="28"/>
      <c r="P597" s="28"/>
      <c r="Q597" s="27" t="s">
        <v>2032</v>
      </c>
      <c r="R597" s="27"/>
      <c r="S597" s="29" t="s">
        <v>2032</v>
      </c>
      <c r="T597" s="29"/>
      <c r="U597" s="29"/>
      <c r="V597" s="29"/>
      <c r="W597" s="30" t="s">
        <v>2032</v>
      </c>
      <c r="X597" s="29" t="s">
        <v>2032</v>
      </c>
      <c r="Y597" s="29"/>
      <c r="Z597" s="29"/>
      <c r="AA597" s="29"/>
      <c r="AB597" s="27" t="s">
        <v>2056</v>
      </c>
      <c r="AC597" s="27"/>
      <c r="AD597" s="27"/>
      <c r="AE597" s="31">
        <f>73.06</f>
        <v>73.06</v>
      </c>
      <c r="AF597" s="31"/>
      <c r="AG597" s="31"/>
    </row>
    <row r="598" spans="1:33" s="1" customFormat="1" ht="18.75" customHeight="1">
      <c r="A598" s="24" t="s">
        <v>3708</v>
      </c>
      <c r="B598" s="25" t="s">
        <v>3709</v>
      </c>
      <c r="C598" s="25"/>
      <c r="D598" s="25"/>
      <c r="E598" s="26" t="s">
        <v>3710</v>
      </c>
      <c r="F598" s="26"/>
      <c r="G598" s="26"/>
      <c r="H598" s="26"/>
      <c r="I598" s="26"/>
      <c r="J598" s="27" t="s">
        <v>2056</v>
      </c>
      <c r="K598" s="27"/>
      <c r="L598" s="27"/>
      <c r="M598" s="27"/>
      <c r="N598" s="28">
        <f>73.06</f>
        <v>73.06</v>
      </c>
      <c r="O598" s="28"/>
      <c r="P598" s="28"/>
      <c r="Q598" s="27" t="s">
        <v>2032</v>
      </c>
      <c r="R598" s="27"/>
      <c r="S598" s="29" t="s">
        <v>2032</v>
      </c>
      <c r="T598" s="29"/>
      <c r="U598" s="29"/>
      <c r="V598" s="29"/>
      <c r="W598" s="30" t="s">
        <v>2032</v>
      </c>
      <c r="X598" s="29" t="s">
        <v>2032</v>
      </c>
      <c r="Y598" s="29"/>
      <c r="Z598" s="29"/>
      <c r="AA598" s="29"/>
      <c r="AB598" s="27" t="s">
        <v>2056</v>
      </c>
      <c r="AC598" s="27"/>
      <c r="AD598" s="27"/>
      <c r="AE598" s="31">
        <f>73.06</f>
        <v>73.06</v>
      </c>
      <c r="AF598" s="31"/>
      <c r="AG598" s="31"/>
    </row>
    <row r="599" spans="1:33" s="1" customFormat="1" ht="18.75" customHeight="1">
      <c r="A599" s="24" t="s">
        <v>3711</v>
      </c>
      <c r="B599" s="25" t="s">
        <v>3712</v>
      </c>
      <c r="C599" s="25"/>
      <c r="D599" s="25"/>
      <c r="E599" s="26" t="s">
        <v>3713</v>
      </c>
      <c r="F599" s="26"/>
      <c r="G599" s="26"/>
      <c r="H599" s="26"/>
      <c r="I599" s="26"/>
      <c r="J599" s="27" t="s">
        <v>2056</v>
      </c>
      <c r="K599" s="27"/>
      <c r="L599" s="27"/>
      <c r="M599" s="27"/>
      <c r="N599" s="28">
        <f>365.32</f>
        <v>365.32</v>
      </c>
      <c r="O599" s="28"/>
      <c r="P599" s="28"/>
      <c r="Q599" s="27" t="s">
        <v>2032</v>
      </c>
      <c r="R599" s="27"/>
      <c r="S599" s="29" t="s">
        <v>2032</v>
      </c>
      <c r="T599" s="29"/>
      <c r="U599" s="29"/>
      <c r="V599" s="29"/>
      <c r="W599" s="30" t="s">
        <v>2032</v>
      </c>
      <c r="X599" s="29" t="s">
        <v>2032</v>
      </c>
      <c r="Y599" s="29"/>
      <c r="Z599" s="29"/>
      <c r="AA599" s="29"/>
      <c r="AB599" s="27" t="s">
        <v>2056</v>
      </c>
      <c r="AC599" s="27"/>
      <c r="AD599" s="27"/>
      <c r="AE599" s="31">
        <f>365.32</f>
        <v>365.32</v>
      </c>
      <c r="AF599" s="31"/>
      <c r="AG599" s="31"/>
    </row>
    <row r="600" spans="1:33" s="1" customFormat="1" ht="18.75" customHeight="1">
      <c r="A600" s="24" t="s">
        <v>3714</v>
      </c>
      <c r="B600" s="25" t="s">
        <v>3715</v>
      </c>
      <c r="C600" s="25"/>
      <c r="D600" s="25"/>
      <c r="E600" s="26" t="s">
        <v>3716</v>
      </c>
      <c r="F600" s="26"/>
      <c r="G600" s="26"/>
      <c r="H600" s="26"/>
      <c r="I600" s="26"/>
      <c r="J600" s="27" t="s">
        <v>2057</v>
      </c>
      <c r="K600" s="27"/>
      <c r="L600" s="27"/>
      <c r="M600" s="27"/>
      <c r="N600" s="28">
        <f>146.12</f>
        <v>146.12</v>
      </c>
      <c r="O600" s="28"/>
      <c r="P600" s="28"/>
      <c r="Q600" s="27" t="s">
        <v>2032</v>
      </c>
      <c r="R600" s="27"/>
      <c r="S600" s="29" t="s">
        <v>2032</v>
      </c>
      <c r="T600" s="29"/>
      <c r="U600" s="29"/>
      <c r="V600" s="29"/>
      <c r="W600" s="30" t="s">
        <v>2032</v>
      </c>
      <c r="X600" s="29" t="s">
        <v>2032</v>
      </c>
      <c r="Y600" s="29"/>
      <c r="Z600" s="29"/>
      <c r="AA600" s="29"/>
      <c r="AB600" s="27" t="s">
        <v>2057</v>
      </c>
      <c r="AC600" s="27"/>
      <c r="AD600" s="27"/>
      <c r="AE600" s="31">
        <f>146.12</f>
        <v>146.12</v>
      </c>
      <c r="AF600" s="31"/>
      <c r="AG600" s="31"/>
    </row>
    <row r="601" spans="1:33" s="1" customFormat="1" ht="18.75" customHeight="1">
      <c r="A601" s="24" t="s">
        <v>3717</v>
      </c>
      <c r="B601" s="25" t="s">
        <v>3718</v>
      </c>
      <c r="C601" s="25"/>
      <c r="D601" s="25"/>
      <c r="E601" s="26" t="s">
        <v>3719</v>
      </c>
      <c r="F601" s="26"/>
      <c r="G601" s="26"/>
      <c r="H601" s="26"/>
      <c r="I601" s="26"/>
      <c r="J601" s="27" t="s">
        <v>2056</v>
      </c>
      <c r="K601" s="27"/>
      <c r="L601" s="27"/>
      <c r="M601" s="27"/>
      <c r="N601" s="28">
        <f>73.06</f>
        <v>73.06</v>
      </c>
      <c r="O601" s="28"/>
      <c r="P601" s="28"/>
      <c r="Q601" s="27" t="s">
        <v>2032</v>
      </c>
      <c r="R601" s="27"/>
      <c r="S601" s="29" t="s">
        <v>2032</v>
      </c>
      <c r="T601" s="29"/>
      <c r="U601" s="29"/>
      <c r="V601" s="29"/>
      <c r="W601" s="30" t="s">
        <v>2032</v>
      </c>
      <c r="X601" s="29" t="s">
        <v>2032</v>
      </c>
      <c r="Y601" s="29"/>
      <c r="Z601" s="29"/>
      <c r="AA601" s="29"/>
      <c r="AB601" s="27" t="s">
        <v>2056</v>
      </c>
      <c r="AC601" s="27"/>
      <c r="AD601" s="27"/>
      <c r="AE601" s="31">
        <f>73.06</f>
        <v>73.06</v>
      </c>
      <c r="AF601" s="31"/>
      <c r="AG601" s="31"/>
    </row>
    <row r="602" spans="1:33" s="1" customFormat="1" ht="33" customHeight="1">
      <c r="A602" s="24" t="s">
        <v>3720</v>
      </c>
      <c r="B602" s="25" t="s">
        <v>3721</v>
      </c>
      <c r="C602" s="25"/>
      <c r="D602" s="25"/>
      <c r="E602" s="26" t="s">
        <v>3722</v>
      </c>
      <c r="F602" s="26"/>
      <c r="G602" s="26"/>
      <c r="H602" s="26"/>
      <c r="I602" s="26"/>
      <c r="J602" s="27" t="s">
        <v>2059</v>
      </c>
      <c r="K602" s="27"/>
      <c r="L602" s="27"/>
      <c r="M602" s="27"/>
      <c r="N602" s="28">
        <f>947.2</f>
        <v>947.2</v>
      </c>
      <c r="O602" s="28"/>
      <c r="P602" s="28"/>
      <c r="Q602" s="27" t="s">
        <v>2032</v>
      </c>
      <c r="R602" s="27"/>
      <c r="S602" s="29" t="s">
        <v>2032</v>
      </c>
      <c r="T602" s="29"/>
      <c r="U602" s="29"/>
      <c r="V602" s="29"/>
      <c r="W602" s="30" t="s">
        <v>2032</v>
      </c>
      <c r="X602" s="29" t="s">
        <v>2032</v>
      </c>
      <c r="Y602" s="29"/>
      <c r="Z602" s="29"/>
      <c r="AA602" s="29"/>
      <c r="AB602" s="27" t="s">
        <v>2059</v>
      </c>
      <c r="AC602" s="27"/>
      <c r="AD602" s="27"/>
      <c r="AE602" s="31">
        <f>947.2</f>
        <v>947.2</v>
      </c>
      <c r="AF602" s="31"/>
      <c r="AG602" s="31"/>
    </row>
    <row r="603" spans="1:33" s="1" customFormat="1" ht="33" customHeight="1">
      <c r="A603" s="24" t="s">
        <v>3723</v>
      </c>
      <c r="B603" s="25" t="s">
        <v>3724</v>
      </c>
      <c r="C603" s="25"/>
      <c r="D603" s="25"/>
      <c r="E603" s="26" t="s">
        <v>3722</v>
      </c>
      <c r="F603" s="26"/>
      <c r="G603" s="26"/>
      <c r="H603" s="26"/>
      <c r="I603" s="26"/>
      <c r="J603" s="27" t="s">
        <v>2059</v>
      </c>
      <c r="K603" s="27"/>
      <c r="L603" s="27"/>
      <c r="M603" s="27"/>
      <c r="N603" s="28">
        <f>1305.6</f>
        <v>1305.6</v>
      </c>
      <c r="O603" s="28"/>
      <c r="P603" s="28"/>
      <c r="Q603" s="27" t="s">
        <v>2032</v>
      </c>
      <c r="R603" s="27"/>
      <c r="S603" s="29" t="s">
        <v>2032</v>
      </c>
      <c r="T603" s="29"/>
      <c r="U603" s="29"/>
      <c r="V603" s="29"/>
      <c r="W603" s="30" t="s">
        <v>2032</v>
      </c>
      <c r="X603" s="29" t="s">
        <v>2032</v>
      </c>
      <c r="Y603" s="29"/>
      <c r="Z603" s="29"/>
      <c r="AA603" s="29"/>
      <c r="AB603" s="27" t="s">
        <v>2059</v>
      </c>
      <c r="AC603" s="27"/>
      <c r="AD603" s="27"/>
      <c r="AE603" s="31">
        <f>1305.6</f>
        <v>1305.6</v>
      </c>
      <c r="AF603" s="31"/>
      <c r="AG603" s="31"/>
    </row>
    <row r="604" spans="1:33" s="1" customFormat="1" ht="18.75" customHeight="1">
      <c r="A604" s="24" t="s">
        <v>3725</v>
      </c>
      <c r="B604" s="25" t="s">
        <v>3726</v>
      </c>
      <c r="C604" s="25"/>
      <c r="D604" s="25"/>
      <c r="E604" s="26" t="s">
        <v>3727</v>
      </c>
      <c r="F604" s="26"/>
      <c r="G604" s="26"/>
      <c r="H604" s="26"/>
      <c r="I604" s="26"/>
      <c r="J604" s="27" t="s">
        <v>2059</v>
      </c>
      <c r="K604" s="27"/>
      <c r="L604" s="27"/>
      <c r="M604" s="27"/>
      <c r="N604" s="28">
        <f>2276</f>
        <v>2276</v>
      </c>
      <c r="O604" s="28"/>
      <c r="P604" s="28"/>
      <c r="Q604" s="27" t="s">
        <v>2032</v>
      </c>
      <c r="R604" s="27"/>
      <c r="S604" s="29" t="s">
        <v>2032</v>
      </c>
      <c r="T604" s="29"/>
      <c r="U604" s="29"/>
      <c r="V604" s="29"/>
      <c r="W604" s="30" t="s">
        <v>2032</v>
      </c>
      <c r="X604" s="29" t="s">
        <v>2032</v>
      </c>
      <c r="Y604" s="29"/>
      <c r="Z604" s="29"/>
      <c r="AA604" s="29"/>
      <c r="AB604" s="27" t="s">
        <v>2059</v>
      </c>
      <c r="AC604" s="27"/>
      <c r="AD604" s="27"/>
      <c r="AE604" s="31">
        <f>2276</f>
        <v>2276</v>
      </c>
      <c r="AF604" s="31"/>
      <c r="AG604" s="31"/>
    </row>
    <row r="605" spans="1:33" s="1" customFormat="1" ht="18.75" customHeight="1">
      <c r="A605" s="24" t="s">
        <v>3728</v>
      </c>
      <c r="B605" s="25" t="s">
        <v>3729</v>
      </c>
      <c r="C605" s="25"/>
      <c r="D605" s="25"/>
      <c r="E605" s="26" t="s">
        <v>3730</v>
      </c>
      <c r="F605" s="26"/>
      <c r="G605" s="26"/>
      <c r="H605" s="26"/>
      <c r="I605" s="26"/>
      <c r="J605" s="27" t="s">
        <v>2056</v>
      </c>
      <c r="K605" s="27"/>
      <c r="L605" s="27"/>
      <c r="M605" s="27"/>
      <c r="N605" s="28">
        <f>73.06</f>
        <v>73.06</v>
      </c>
      <c r="O605" s="28"/>
      <c r="P605" s="28"/>
      <c r="Q605" s="27" t="s">
        <v>2032</v>
      </c>
      <c r="R605" s="27"/>
      <c r="S605" s="29" t="s">
        <v>2032</v>
      </c>
      <c r="T605" s="29"/>
      <c r="U605" s="29"/>
      <c r="V605" s="29"/>
      <c r="W605" s="30" t="s">
        <v>2032</v>
      </c>
      <c r="X605" s="29" t="s">
        <v>2032</v>
      </c>
      <c r="Y605" s="29"/>
      <c r="Z605" s="29"/>
      <c r="AA605" s="29"/>
      <c r="AB605" s="27" t="s">
        <v>2056</v>
      </c>
      <c r="AC605" s="27"/>
      <c r="AD605" s="27"/>
      <c r="AE605" s="31">
        <f>73.06</f>
        <v>73.06</v>
      </c>
      <c r="AF605" s="31"/>
      <c r="AG605" s="31"/>
    </row>
    <row r="606" spans="1:33" s="1" customFormat="1" ht="33" customHeight="1">
      <c r="A606" s="24" t="s">
        <v>3731</v>
      </c>
      <c r="B606" s="25" t="s">
        <v>3732</v>
      </c>
      <c r="C606" s="25"/>
      <c r="D606" s="25"/>
      <c r="E606" s="26" t="s">
        <v>3733</v>
      </c>
      <c r="F606" s="26"/>
      <c r="G606" s="26"/>
      <c r="H606" s="26"/>
      <c r="I606" s="26"/>
      <c r="J606" s="27" t="s">
        <v>2093</v>
      </c>
      <c r="K606" s="27"/>
      <c r="L606" s="27"/>
      <c r="M606" s="27"/>
      <c r="N606" s="28">
        <f>36000</f>
        <v>36000</v>
      </c>
      <c r="O606" s="28"/>
      <c r="P606" s="28"/>
      <c r="Q606" s="27" t="s">
        <v>2032</v>
      </c>
      <c r="R606" s="27"/>
      <c r="S606" s="29" t="s">
        <v>2032</v>
      </c>
      <c r="T606" s="29"/>
      <c r="U606" s="29"/>
      <c r="V606" s="29"/>
      <c r="W606" s="30" t="s">
        <v>2032</v>
      </c>
      <c r="X606" s="29" t="s">
        <v>2032</v>
      </c>
      <c r="Y606" s="29"/>
      <c r="Z606" s="29"/>
      <c r="AA606" s="29"/>
      <c r="AB606" s="27" t="s">
        <v>2093</v>
      </c>
      <c r="AC606" s="27"/>
      <c r="AD606" s="27"/>
      <c r="AE606" s="31">
        <f>36000</f>
        <v>36000</v>
      </c>
      <c r="AF606" s="31"/>
      <c r="AG606" s="31"/>
    </row>
    <row r="607" spans="1:33" s="1" customFormat="1" ht="33" customHeight="1">
      <c r="A607" s="24" t="s">
        <v>3734</v>
      </c>
      <c r="B607" s="25" t="s">
        <v>3735</v>
      </c>
      <c r="C607" s="25"/>
      <c r="D607" s="25"/>
      <c r="E607" s="26" t="s">
        <v>3736</v>
      </c>
      <c r="F607" s="26"/>
      <c r="G607" s="26"/>
      <c r="H607" s="26"/>
      <c r="I607" s="26"/>
      <c r="J607" s="27" t="s">
        <v>2056</v>
      </c>
      <c r="K607" s="27"/>
      <c r="L607" s="27"/>
      <c r="M607" s="27"/>
      <c r="N607" s="28">
        <f>2962.16</f>
        <v>2962.16</v>
      </c>
      <c r="O607" s="28"/>
      <c r="P607" s="28"/>
      <c r="Q607" s="27" t="s">
        <v>2032</v>
      </c>
      <c r="R607" s="27"/>
      <c r="S607" s="29" t="s">
        <v>2032</v>
      </c>
      <c r="T607" s="29"/>
      <c r="U607" s="29"/>
      <c r="V607" s="29"/>
      <c r="W607" s="30" t="s">
        <v>2032</v>
      </c>
      <c r="X607" s="29" t="s">
        <v>2032</v>
      </c>
      <c r="Y607" s="29"/>
      <c r="Z607" s="29"/>
      <c r="AA607" s="29"/>
      <c r="AB607" s="27" t="s">
        <v>2056</v>
      </c>
      <c r="AC607" s="27"/>
      <c r="AD607" s="27"/>
      <c r="AE607" s="31">
        <f>2962.16</f>
        <v>2962.16</v>
      </c>
      <c r="AF607" s="31"/>
      <c r="AG607" s="31"/>
    </row>
    <row r="608" spans="1:33" s="1" customFormat="1" ht="33" customHeight="1">
      <c r="A608" s="24" t="s">
        <v>3737</v>
      </c>
      <c r="B608" s="25" t="s">
        <v>3738</v>
      </c>
      <c r="C608" s="25"/>
      <c r="D608" s="25"/>
      <c r="E608" s="26" t="s">
        <v>3739</v>
      </c>
      <c r="F608" s="26"/>
      <c r="G608" s="26"/>
      <c r="H608" s="26"/>
      <c r="I608" s="26"/>
      <c r="J608" s="27" t="s">
        <v>2056</v>
      </c>
      <c r="K608" s="27"/>
      <c r="L608" s="27"/>
      <c r="M608" s="27"/>
      <c r="N608" s="28">
        <f>370</f>
        <v>370</v>
      </c>
      <c r="O608" s="28"/>
      <c r="P608" s="28"/>
      <c r="Q608" s="27" t="s">
        <v>2032</v>
      </c>
      <c r="R608" s="27"/>
      <c r="S608" s="29" t="s">
        <v>2032</v>
      </c>
      <c r="T608" s="29"/>
      <c r="U608" s="29"/>
      <c r="V608" s="29"/>
      <c r="W608" s="30" t="s">
        <v>2032</v>
      </c>
      <c r="X608" s="29" t="s">
        <v>2032</v>
      </c>
      <c r="Y608" s="29"/>
      <c r="Z608" s="29"/>
      <c r="AA608" s="29"/>
      <c r="AB608" s="27" t="s">
        <v>2056</v>
      </c>
      <c r="AC608" s="27"/>
      <c r="AD608" s="27"/>
      <c r="AE608" s="31">
        <f>370</f>
        <v>370</v>
      </c>
      <c r="AF608" s="31"/>
      <c r="AG608" s="31"/>
    </row>
    <row r="609" spans="1:33" s="1" customFormat="1" ht="18.75" customHeight="1">
      <c r="A609" s="24" t="s">
        <v>3740</v>
      </c>
      <c r="B609" s="25" t="s">
        <v>3741</v>
      </c>
      <c r="C609" s="25"/>
      <c r="D609" s="25"/>
      <c r="E609" s="26" t="s">
        <v>3742</v>
      </c>
      <c r="F609" s="26"/>
      <c r="G609" s="26"/>
      <c r="H609" s="26"/>
      <c r="I609" s="26"/>
      <c r="J609" s="27" t="s">
        <v>2056</v>
      </c>
      <c r="K609" s="27"/>
      <c r="L609" s="27"/>
      <c r="M609" s="27"/>
      <c r="N609" s="28">
        <f>416</f>
        <v>416</v>
      </c>
      <c r="O609" s="28"/>
      <c r="P609" s="28"/>
      <c r="Q609" s="27" t="s">
        <v>2032</v>
      </c>
      <c r="R609" s="27"/>
      <c r="S609" s="29" t="s">
        <v>2032</v>
      </c>
      <c r="T609" s="29"/>
      <c r="U609" s="29"/>
      <c r="V609" s="29"/>
      <c r="W609" s="30" t="s">
        <v>2032</v>
      </c>
      <c r="X609" s="29" t="s">
        <v>2032</v>
      </c>
      <c r="Y609" s="29"/>
      <c r="Z609" s="29"/>
      <c r="AA609" s="29"/>
      <c r="AB609" s="27" t="s">
        <v>2056</v>
      </c>
      <c r="AC609" s="27"/>
      <c r="AD609" s="27"/>
      <c r="AE609" s="31">
        <f>416</f>
        <v>416</v>
      </c>
      <c r="AF609" s="31"/>
      <c r="AG609" s="31"/>
    </row>
    <row r="610" spans="1:33" s="1" customFormat="1" ht="33" customHeight="1">
      <c r="A610" s="24" t="s">
        <v>3743</v>
      </c>
      <c r="B610" s="25" t="s">
        <v>3744</v>
      </c>
      <c r="C610" s="25"/>
      <c r="D610" s="25"/>
      <c r="E610" s="26" t="s">
        <v>3745</v>
      </c>
      <c r="F610" s="26"/>
      <c r="G610" s="26"/>
      <c r="H610" s="26"/>
      <c r="I610" s="26"/>
      <c r="J610" s="27" t="s">
        <v>2056</v>
      </c>
      <c r="K610" s="27"/>
      <c r="L610" s="27"/>
      <c r="M610" s="27"/>
      <c r="N610" s="28">
        <f>1364.08</f>
        <v>1364.08</v>
      </c>
      <c r="O610" s="28"/>
      <c r="P610" s="28"/>
      <c r="Q610" s="27" t="s">
        <v>2032</v>
      </c>
      <c r="R610" s="27"/>
      <c r="S610" s="29" t="s">
        <v>2032</v>
      </c>
      <c r="T610" s="29"/>
      <c r="U610" s="29"/>
      <c r="V610" s="29"/>
      <c r="W610" s="30" t="s">
        <v>2032</v>
      </c>
      <c r="X610" s="29" t="s">
        <v>2032</v>
      </c>
      <c r="Y610" s="29"/>
      <c r="Z610" s="29"/>
      <c r="AA610" s="29"/>
      <c r="AB610" s="27" t="s">
        <v>2056</v>
      </c>
      <c r="AC610" s="27"/>
      <c r="AD610" s="27"/>
      <c r="AE610" s="31">
        <f>1364.08</f>
        <v>1364.08</v>
      </c>
      <c r="AF610" s="31"/>
      <c r="AG610" s="31"/>
    </row>
    <row r="611" spans="1:33" s="1" customFormat="1" ht="18.75" customHeight="1">
      <c r="A611" s="24" t="s">
        <v>3746</v>
      </c>
      <c r="B611" s="25" t="s">
        <v>3747</v>
      </c>
      <c r="C611" s="25"/>
      <c r="D611" s="25"/>
      <c r="E611" s="26" t="s">
        <v>3748</v>
      </c>
      <c r="F611" s="26"/>
      <c r="G611" s="26"/>
      <c r="H611" s="26"/>
      <c r="I611" s="26"/>
      <c r="J611" s="27" t="s">
        <v>2056</v>
      </c>
      <c r="K611" s="27"/>
      <c r="L611" s="27"/>
      <c r="M611" s="27"/>
      <c r="N611" s="28">
        <f>73.06</f>
        <v>73.06</v>
      </c>
      <c r="O611" s="28"/>
      <c r="P611" s="28"/>
      <c r="Q611" s="27" t="s">
        <v>2032</v>
      </c>
      <c r="R611" s="27"/>
      <c r="S611" s="29" t="s">
        <v>2032</v>
      </c>
      <c r="T611" s="29"/>
      <c r="U611" s="29"/>
      <c r="V611" s="29"/>
      <c r="W611" s="30" t="s">
        <v>2032</v>
      </c>
      <c r="X611" s="29" t="s">
        <v>2032</v>
      </c>
      <c r="Y611" s="29"/>
      <c r="Z611" s="29"/>
      <c r="AA611" s="29"/>
      <c r="AB611" s="27" t="s">
        <v>2056</v>
      </c>
      <c r="AC611" s="27"/>
      <c r="AD611" s="27"/>
      <c r="AE611" s="31">
        <f>73.06</f>
        <v>73.06</v>
      </c>
      <c r="AF611" s="31"/>
      <c r="AG611" s="31"/>
    </row>
    <row r="612" spans="1:33" s="1" customFormat="1" ht="33" customHeight="1">
      <c r="A612" s="24" t="s">
        <v>3749</v>
      </c>
      <c r="B612" s="25" t="s">
        <v>3750</v>
      </c>
      <c r="C612" s="25"/>
      <c r="D612" s="25"/>
      <c r="E612" s="26" t="s">
        <v>3751</v>
      </c>
      <c r="F612" s="26"/>
      <c r="G612" s="26"/>
      <c r="H612" s="26"/>
      <c r="I612" s="26"/>
      <c r="J612" s="27" t="s">
        <v>2056</v>
      </c>
      <c r="K612" s="27"/>
      <c r="L612" s="27"/>
      <c r="M612" s="27"/>
      <c r="N612" s="28">
        <f>73.06</f>
        <v>73.06</v>
      </c>
      <c r="O612" s="28"/>
      <c r="P612" s="28"/>
      <c r="Q612" s="27" t="s">
        <v>2032</v>
      </c>
      <c r="R612" s="27"/>
      <c r="S612" s="29" t="s">
        <v>2032</v>
      </c>
      <c r="T612" s="29"/>
      <c r="U612" s="29"/>
      <c r="V612" s="29"/>
      <c r="W612" s="30" t="s">
        <v>2032</v>
      </c>
      <c r="X612" s="29" t="s">
        <v>2032</v>
      </c>
      <c r="Y612" s="29"/>
      <c r="Z612" s="29"/>
      <c r="AA612" s="29"/>
      <c r="AB612" s="27" t="s">
        <v>2056</v>
      </c>
      <c r="AC612" s="27"/>
      <c r="AD612" s="27"/>
      <c r="AE612" s="31">
        <f>73.06</f>
        <v>73.06</v>
      </c>
      <c r="AF612" s="31"/>
      <c r="AG612" s="31"/>
    </row>
    <row r="613" spans="1:33" s="1" customFormat="1" ht="18.75" customHeight="1">
      <c r="A613" s="24" t="s">
        <v>3752</v>
      </c>
      <c r="B613" s="25" t="s">
        <v>2534</v>
      </c>
      <c r="C613" s="25"/>
      <c r="D613" s="25"/>
      <c r="E613" s="26" t="s">
        <v>3753</v>
      </c>
      <c r="F613" s="26"/>
      <c r="G613" s="26"/>
      <c r="H613" s="26"/>
      <c r="I613" s="26"/>
      <c r="J613" s="27" t="s">
        <v>2056</v>
      </c>
      <c r="K613" s="27"/>
      <c r="L613" s="27"/>
      <c r="M613" s="27"/>
      <c r="N613" s="28">
        <f>73.06</f>
        <v>73.06</v>
      </c>
      <c r="O613" s="28"/>
      <c r="P613" s="28"/>
      <c r="Q613" s="27" t="s">
        <v>2032</v>
      </c>
      <c r="R613" s="27"/>
      <c r="S613" s="29" t="s">
        <v>2032</v>
      </c>
      <c r="T613" s="29"/>
      <c r="U613" s="29"/>
      <c r="V613" s="29"/>
      <c r="W613" s="30" t="s">
        <v>2032</v>
      </c>
      <c r="X613" s="29" t="s">
        <v>2032</v>
      </c>
      <c r="Y613" s="29"/>
      <c r="Z613" s="29"/>
      <c r="AA613" s="29"/>
      <c r="AB613" s="27" t="s">
        <v>2056</v>
      </c>
      <c r="AC613" s="27"/>
      <c r="AD613" s="27"/>
      <c r="AE613" s="31">
        <f>73.06</f>
        <v>73.06</v>
      </c>
      <c r="AF613" s="31"/>
      <c r="AG613" s="31"/>
    </row>
    <row r="614" spans="1:33" s="1" customFormat="1" ht="33" customHeight="1">
      <c r="A614" s="24" t="s">
        <v>3754</v>
      </c>
      <c r="B614" s="25" t="s">
        <v>3755</v>
      </c>
      <c r="C614" s="25"/>
      <c r="D614" s="25"/>
      <c r="E614" s="26" t="s">
        <v>3756</v>
      </c>
      <c r="F614" s="26"/>
      <c r="G614" s="26"/>
      <c r="H614" s="26"/>
      <c r="I614" s="26"/>
      <c r="J614" s="27" t="s">
        <v>2056</v>
      </c>
      <c r="K614" s="27"/>
      <c r="L614" s="27"/>
      <c r="M614" s="27"/>
      <c r="N614" s="28">
        <f>219.19</f>
        <v>219.19</v>
      </c>
      <c r="O614" s="28"/>
      <c r="P614" s="28"/>
      <c r="Q614" s="27" t="s">
        <v>2032</v>
      </c>
      <c r="R614" s="27"/>
      <c r="S614" s="29" t="s">
        <v>2032</v>
      </c>
      <c r="T614" s="29"/>
      <c r="U614" s="29"/>
      <c r="V614" s="29"/>
      <c r="W614" s="30" t="s">
        <v>2032</v>
      </c>
      <c r="X614" s="29" t="s">
        <v>2032</v>
      </c>
      <c r="Y614" s="29"/>
      <c r="Z614" s="29"/>
      <c r="AA614" s="29"/>
      <c r="AB614" s="27" t="s">
        <v>2056</v>
      </c>
      <c r="AC614" s="27"/>
      <c r="AD614" s="27"/>
      <c r="AE614" s="31">
        <f>219.19</f>
        <v>219.19</v>
      </c>
      <c r="AF614" s="31"/>
      <c r="AG614" s="31"/>
    </row>
    <row r="615" spans="1:33" s="1" customFormat="1" ht="33" customHeight="1">
      <c r="A615" s="24" t="s">
        <v>3757</v>
      </c>
      <c r="B615" s="25" t="s">
        <v>3758</v>
      </c>
      <c r="C615" s="25"/>
      <c r="D615" s="25"/>
      <c r="E615" s="26" t="s">
        <v>3759</v>
      </c>
      <c r="F615" s="26"/>
      <c r="G615" s="26"/>
      <c r="H615" s="26"/>
      <c r="I615" s="26"/>
      <c r="J615" s="27" t="s">
        <v>2056</v>
      </c>
      <c r="K615" s="27"/>
      <c r="L615" s="27"/>
      <c r="M615" s="27"/>
      <c r="N615" s="28">
        <f>73.06</f>
        <v>73.06</v>
      </c>
      <c r="O615" s="28"/>
      <c r="P615" s="28"/>
      <c r="Q615" s="27" t="s">
        <v>2032</v>
      </c>
      <c r="R615" s="27"/>
      <c r="S615" s="29" t="s">
        <v>2032</v>
      </c>
      <c r="T615" s="29"/>
      <c r="U615" s="29"/>
      <c r="V615" s="29"/>
      <c r="W615" s="30" t="s">
        <v>2032</v>
      </c>
      <c r="X615" s="29" t="s">
        <v>2032</v>
      </c>
      <c r="Y615" s="29"/>
      <c r="Z615" s="29"/>
      <c r="AA615" s="29"/>
      <c r="AB615" s="27" t="s">
        <v>2056</v>
      </c>
      <c r="AC615" s="27"/>
      <c r="AD615" s="27"/>
      <c r="AE615" s="31">
        <f>73.06</f>
        <v>73.06</v>
      </c>
      <c r="AF615" s="31"/>
      <c r="AG615" s="31"/>
    </row>
    <row r="616" spans="1:33" s="1" customFormat="1" ht="18.75" customHeight="1">
      <c r="A616" s="24" t="s">
        <v>3760</v>
      </c>
      <c r="B616" s="25" t="s">
        <v>3761</v>
      </c>
      <c r="C616" s="25"/>
      <c r="D616" s="25"/>
      <c r="E616" s="26" t="s">
        <v>3762</v>
      </c>
      <c r="F616" s="26"/>
      <c r="G616" s="26"/>
      <c r="H616" s="26"/>
      <c r="I616" s="26"/>
      <c r="J616" s="27" t="s">
        <v>2062</v>
      </c>
      <c r="K616" s="27"/>
      <c r="L616" s="27"/>
      <c r="M616" s="27"/>
      <c r="N616" s="28">
        <f>511.42</f>
        <v>511.42</v>
      </c>
      <c r="O616" s="28"/>
      <c r="P616" s="28"/>
      <c r="Q616" s="27" t="s">
        <v>2032</v>
      </c>
      <c r="R616" s="27"/>
      <c r="S616" s="29" t="s">
        <v>2032</v>
      </c>
      <c r="T616" s="29"/>
      <c r="U616" s="29"/>
      <c r="V616" s="29"/>
      <c r="W616" s="30" t="s">
        <v>2032</v>
      </c>
      <c r="X616" s="29" t="s">
        <v>2032</v>
      </c>
      <c r="Y616" s="29"/>
      <c r="Z616" s="29"/>
      <c r="AA616" s="29"/>
      <c r="AB616" s="27" t="s">
        <v>2062</v>
      </c>
      <c r="AC616" s="27"/>
      <c r="AD616" s="27"/>
      <c r="AE616" s="31">
        <f>511.42</f>
        <v>511.42</v>
      </c>
      <c r="AF616" s="31"/>
      <c r="AG616" s="31"/>
    </row>
    <row r="617" spans="1:33" s="1" customFormat="1" ht="18.75" customHeight="1">
      <c r="A617" s="24" t="s">
        <v>3763</v>
      </c>
      <c r="B617" s="25" t="s">
        <v>3764</v>
      </c>
      <c r="C617" s="25"/>
      <c r="D617" s="25"/>
      <c r="E617" s="26" t="s">
        <v>3765</v>
      </c>
      <c r="F617" s="26"/>
      <c r="G617" s="26"/>
      <c r="H617" s="26"/>
      <c r="I617" s="26"/>
      <c r="J617" s="27" t="s">
        <v>2056</v>
      </c>
      <c r="K617" s="27"/>
      <c r="L617" s="27"/>
      <c r="M617" s="27"/>
      <c r="N617" s="28">
        <f>73.06</f>
        <v>73.06</v>
      </c>
      <c r="O617" s="28"/>
      <c r="P617" s="28"/>
      <c r="Q617" s="27" t="s">
        <v>2032</v>
      </c>
      <c r="R617" s="27"/>
      <c r="S617" s="29" t="s">
        <v>2032</v>
      </c>
      <c r="T617" s="29"/>
      <c r="U617" s="29"/>
      <c r="V617" s="29"/>
      <c r="W617" s="30" t="s">
        <v>2032</v>
      </c>
      <c r="X617" s="29" t="s">
        <v>2032</v>
      </c>
      <c r="Y617" s="29"/>
      <c r="Z617" s="29"/>
      <c r="AA617" s="29"/>
      <c r="AB617" s="27" t="s">
        <v>2056</v>
      </c>
      <c r="AC617" s="27"/>
      <c r="AD617" s="27"/>
      <c r="AE617" s="31">
        <f>73.06</f>
        <v>73.06</v>
      </c>
      <c r="AF617" s="31"/>
      <c r="AG617" s="31"/>
    </row>
    <row r="618" spans="1:33" s="1" customFormat="1" ht="18.75" customHeight="1">
      <c r="A618" s="24" t="s">
        <v>3766</v>
      </c>
      <c r="B618" s="25" t="s">
        <v>3767</v>
      </c>
      <c r="C618" s="25"/>
      <c r="D618" s="25"/>
      <c r="E618" s="26" t="s">
        <v>3768</v>
      </c>
      <c r="F618" s="26"/>
      <c r="G618" s="26"/>
      <c r="H618" s="26"/>
      <c r="I618" s="26"/>
      <c r="J618" s="27" t="s">
        <v>2056</v>
      </c>
      <c r="K618" s="27"/>
      <c r="L618" s="27"/>
      <c r="M618" s="27"/>
      <c r="N618" s="28">
        <f>73.06</f>
        <v>73.06</v>
      </c>
      <c r="O618" s="28"/>
      <c r="P618" s="28"/>
      <c r="Q618" s="27" t="s">
        <v>2032</v>
      </c>
      <c r="R618" s="27"/>
      <c r="S618" s="29" t="s">
        <v>2032</v>
      </c>
      <c r="T618" s="29"/>
      <c r="U618" s="29"/>
      <c r="V618" s="29"/>
      <c r="W618" s="30" t="s">
        <v>2032</v>
      </c>
      <c r="X618" s="29" t="s">
        <v>2032</v>
      </c>
      <c r="Y618" s="29"/>
      <c r="Z618" s="29"/>
      <c r="AA618" s="29"/>
      <c r="AB618" s="27" t="s">
        <v>2056</v>
      </c>
      <c r="AC618" s="27"/>
      <c r="AD618" s="27"/>
      <c r="AE618" s="31">
        <f>73.06</f>
        <v>73.06</v>
      </c>
      <c r="AF618" s="31"/>
      <c r="AG618" s="31"/>
    </row>
    <row r="619" spans="1:33" s="1" customFormat="1" ht="18.75" customHeight="1">
      <c r="A619" s="24" t="s">
        <v>3769</v>
      </c>
      <c r="B619" s="25" t="s">
        <v>3770</v>
      </c>
      <c r="C619" s="25"/>
      <c r="D619" s="25"/>
      <c r="E619" s="26" t="s">
        <v>3771</v>
      </c>
      <c r="F619" s="26"/>
      <c r="G619" s="26"/>
      <c r="H619" s="26"/>
      <c r="I619" s="26"/>
      <c r="J619" s="27" t="s">
        <v>2056</v>
      </c>
      <c r="K619" s="27"/>
      <c r="L619" s="27"/>
      <c r="M619" s="27"/>
      <c r="N619" s="28">
        <f>292.25</f>
        <v>292.25</v>
      </c>
      <c r="O619" s="28"/>
      <c r="P619" s="28"/>
      <c r="Q619" s="27" t="s">
        <v>2032</v>
      </c>
      <c r="R619" s="27"/>
      <c r="S619" s="29" t="s">
        <v>2032</v>
      </c>
      <c r="T619" s="29"/>
      <c r="U619" s="29"/>
      <c r="V619" s="29"/>
      <c r="W619" s="30" t="s">
        <v>2032</v>
      </c>
      <c r="X619" s="29" t="s">
        <v>2032</v>
      </c>
      <c r="Y619" s="29"/>
      <c r="Z619" s="29"/>
      <c r="AA619" s="29"/>
      <c r="AB619" s="27" t="s">
        <v>2056</v>
      </c>
      <c r="AC619" s="27"/>
      <c r="AD619" s="27"/>
      <c r="AE619" s="31">
        <f>292.25</f>
        <v>292.25</v>
      </c>
      <c r="AF619" s="31"/>
      <c r="AG619" s="31"/>
    </row>
    <row r="620" spans="1:33" s="1" customFormat="1" ht="18.75" customHeight="1">
      <c r="A620" s="24" t="s">
        <v>3772</v>
      </c>
      <c r="B620" s="25" t="s">
        <v>3773</v>
      </c>
      <c r="C620" s="25"/>
      <c r="D620" s="25"/>
      <c r="E620" s="26" t="s">
        <v>3774</v>
      </c>
      <c r="F620" s="26"/>
      <c r="G620" s="26"/>
      <c r="H620" s="26"/>
      <c r="I620" s="26"/>
      <c r="J620" s="27" t="s">
        <v>2057</v>
      </c>
      <c r="K620" s="27"/>
      <c r="L620" s="27"/>
      <c r="M620" s="27"/>
      <c r="N620" s="28">
        <f>146.12</f>
        <v>146.12</v>
      </c>
      <c r="O620" s="28"/>
      <c r="P620" s="28"/>
      <c r="Q620" s="27" t="s">
        <v>2032</v>
      </c>
      <c r="R620" s="27"/>
      <c r="S620" s="29" t="s">
        <v>2032</v>
      </c>
      <c r="T620" s="29"/>
      <c r="U620" s="29"/>
      <c r="V620" s="29"/>
      <c r="W620" s="30" t="s">
        <v>2032</v>
      </c>
      <c r="X620" s="29" t="s">
        <v>2032</v>
      </c>
      <c r="Y620" s="29"/>
      <c r="Z620" s="29"/>
      <c r="AA620" s="29"/>
      <c r="AB620" s="27" t="s">
        <v>2057</v>
      </c>
      <c r="AC620" s="27"/>
      <c r="AD620" s="27"/>
      <c r="AE620" s="31">
        <f>146.12</f>
        <v>146.12</v>
      </c>
      <c r="AF620" s="31"/>
      <c r="AG620" s="31"/>
    </row>
    <row r="621" spans="1:33" s="1" customFormat="1" ht="18.75" customHeight="1">
      <c r="A621" s="24" t="s">
        <v>3775</v>
      </c>
      <c r="B621" s="25" t="s">
        <v>3776</v>
      </c>
      <c r="C621" s="25"/>
      <c r="D621" s="25"/>
      <c r="E621" s="26" t="s">
        <v>3777</v>
      </c>
      <c r="F621" s="26"/>
      <c r="G621" s="26"/>
      <c r="H621" s="26"/>
      <c r="I621" s="26"/>
      <c r="J621" s="27" t="s">
        <v>2056</v>
      </c>
      <c r="K621" s="27"/>
      <c r="L621" s="27"/>
      <c r="M621" s="27"/>
      <c r="N621" s="28">
        <f>73.06</f>
        <v>73.06</v>
      </c>
      <c r="O621" s="28"/>
      <c r="P621" s="28"/>
      <c r="Q621" s="27" t="s">
        <v>2032</v>
      </c>
      <c r="R621" s="27"/>
      <c r="S621" s="29" t="s">
        <v>2032</v>
      </c>
      <c r="T621" s="29"/>
      <c r="U621" s="29"/>
      <c r="V621" s="29"/>
      <c r="W621" s="30" t="s">
        <v>2032</v>
      </c>
      <c r="X621" s="29" t="s">
        <v>2032</v>
      </c>
      <c r="Y621" s="29"/>
      <c r="Z621" s="29"/>
      <c r="AA621" s="29"/>
      <c r="AB621" s="27" t="s">
        <v>2056</v>
      </c>
      <c r="AC621" s="27"/>
      <c r="AD621" s="27"/>
      <c r="AE621" s="31">
        <f>73.06</f>
        <v>73.06</v>
      </c>
      <c r="AF621" s="31"/>
      <c r="AG621" s="31"/>
    </row>
    <row r="622" spans="1:33" s="1" customFormat="1" ht="18.75" customHeight="1">
      <c r="A622" s="24" t="s">
        <v>3778</v>
      </c>
      <c r="B622" s="25" t="s">
        <v>3779</v>
      </c>
      <c r="C622" s="25"/>
      <c r="D622" s="25"/>
      <c r="E622" s="26" t="s">
        <v>3780</v>
      </c>
      <c r="F622" s="26"/>
      <c r="G622" s="26"/>
      <c r="H622" s="26"/>
      <c r="I622" s="26"/>
      <c r="J622" s="27" t="s">
        <v>2056</v>
      </c>
      <c r="K622" s="27"/>
      <c r="L622" s="27"/>
      <c r="M622" s="27"/>
      <c r="N622" s="28">
        <f>73.06</f>
        <v>73.06</v>
      </c>
      <c r="O622" s="28"/>
      <c r="P622" s="28"/>
      <c r="Q622" s="27" t="s">
        <v>2032</v>
      </c>
      <c r="R622" s="27"/>
      <c r="S622" s="29" t="s">
        <v>2032</v>
      </c>
      <c r="T622" s="29"/>
      <c r="U622" s="29"/>
      <c r="V622" s="29"/>
      <c r="W622" s="30" t="s">
        <v>2032</v>
      </c>
      <c r="X622" s="29" t="s">
        <v>2032</v>
      </c>
      <c r="Y622" s="29"/>
      <c r="Z622" s="29"/>
      <c r="AA622" s="29"/>
      <c r="AB622" s="27" t="s">
        <v>2056</v>
      </c>
      <c r="AC622" s="27"/>
      <c r="AD622" s="27"/>
      <c r="AE622" s="31">
        <f>73.06</f>
        <v>73.06</v>
      </c>
      <c r="AF622" s="31"/>
      <c r="AG622" s="31"/>
    </row>
    <row r="623" spans="1:33" s="1" customFormat="1" ht="18.75" customHeight="1">
      <c r="A623" s="24" t="s">
        <v>3781</v>
      </c>
      <c r="B623" s="25" t="s">
        <v>3782</v>
      </c>
      <c r="C623" s="25"/>
      <c r="D623" s="25"/>
      <c r="E623" s="26" t="s">
        <v>3783</v>
      </c>
      <c r="F623" s="26"/>
      <c r="G623" s="26"/>
      <c r="H623" s="26"/>
      <c r="I623" s="26"/>
      <c r="J623" s="27" t="s">
        <v>2056</v>
      </c>
      <c r="K623" s="27"/>
      <c r="L623" s="27"/>
      <c r="M623" s="27"/>
      <c r="N623" s="28">
        <f>219.19</f>
        <v>219.19</v>
      </c>
      <c r="O623" s="28"/>
      <c r="P623" s="28"/>
      <c r="Q623" s="27" t="s">
        <v>2032</v>
      </c>
      <c r="R623" s="27"/>
      <c r="S623" s="29" t="s">
        <v>2032</v>
      </c>
      <c r="T623" s="29"/>
      <c r="U623" s="29"/>
      <c r="V623" s="29"/>
      <c r="W623" s="30" t="s">
        <v>2032</v>
      </c>
      <c r="X623" s="29" t="s">
        <v>2032</v>
      </c>
      <c r="Y623" s="29"/>
      <c r="Z623" s="29"/>
      <c r="AA623" s="29"/>
      <c r="AB623" s="27" t="s">
        <v>2056</v>
      </c>
      <c r="AC623" s="27"/>
      <c r="AD623" s="27"/>
      <c r="AE623" s="31">
        <f>219.19</f>
        <v>219.19</v>
      </c>
      <c r="AF623" s="31"/>
      <c r="AG623" s="31"/>
    </row>
    <row r="624" spans="1:33" s="1" customFormat="1" ht="33" customHeight="1">
      <c r="A624" s="24" t="s">
        <v>3784</v>
      </c>
      <c r="B624" s="25" t="s">
        <v>3785</v>
      </c>
      <c r="C624" s="25"/>
      <c r="D624" s="25"/>
      <c r="E624" s="26" t="s">
        <v>3786</v>
      </c>
      <c r="F624" s="26"/>
      <c r="G624" s="26"/>
      <c r="H624" s="26"/>
      <c r="I624" s="26"/>
      <c r="J624" s="27" t="s">
        <v>2056</v>
      </c>
      <c r="K624" s="27"/>
      <c r="L624" s="27"/>
      <c r="M624" s="27"/>
      <c r="N624" s="28">
        <f>2641.01</f>
        <v>2641.01</v>
      </c>
      <c r="O624" s="28"/>
      <c r="P624" s="28"/>
      <c r="Q624" s="27" t="s">
        <v>2032</v>
      </c>
      <c r="R624" s="27"/>
      <c r="S624" s="29" t="s">
        <v>2032</v>
      </c>
      <c r="T624" s="29"/>
      <c r="U624" s="29"/>
      <c r="V624" s="29"/>
      <c r="W624" s="30" t="s">
        <v>2032</v>
      </c>
      <c r="X624" s="29" t="s">
        <v>2032</v>
      </c>
      <c r="Y624" s="29"/>
      <c r="Z624" s="29"/>
      <c r="AA624" s="29"/>
      <c r="AB624" s="27" t="s">
        <v>2056</v>
      </c>
      <c r="AC624" s="27"/>
      <c r="AD624" s="27"/>
      <c r="AE624" s="31">
        <f>2641.01</f>
        <v>2641.01</v>
      </c>
      <c r="AF624" s="31"/>
      <c r="AG624" s="31"/>
    </row>
    <row r="625" spans="1:33" s="1" customFormat="1" ht="18.75" customHeight="1">
      <c r="A625" s="24" t="s">
        <v>3787</v>
      </c>
      <c r="B625" s="25" t="s">
        <v>3788</v>
      </c>
      <c r="C625" s="25"/>
      <c r="D625" s="25"/>
      <c r="E625" s="26" t="s">
        <v>3789</v>
      </c>
      <c r="F625" s="26"/>
      <c r="G625" s="26"/>
      <c r="H625" s="26"/>
      <c r="I625" s="26"/>
      <c r="J625" s="27" t="s">
        <v>2056</v>
      </c>
      <c r="K625" s="27"/>
      <c r="L625" s="27"/>
      <c r="M625" s="27"/>
      <c r="N625" s="28">
        <f>73.06</f>
        <v>73.06</v>
      </c>
      <c r="O625" s="28"/>
      <c r="P625" s="28"/>
      <c r="Q625" s="27" t="s">
        <v>2032</v>
      </c>
      <c r="R625" s="27"/>
      <c r="S625" s="29" t="s">
        <v>2032</v>
      </c>
      <c r="T625" s="29"/>
      <c r="U625" s="29"/>
      <c r="V625" s="29"/>
      <c r="W625" s="30" t="s">
        <v>2032</v>
      </c>
      <c r="X625" s="29" t="s">
        <v>2032</v>
      </c>
      <c r="Y625" s="29"/>
      <c r="Z625" s="29"/>
      <c r="AA625" s="29"/>
      <c r="AB625" s="27" t="s">
        <v>2056</v>
      </c>
      <c r="AC625" s="27"/>
      <c r="AD625" s="27"/>
      <c r="AE625" s="31">
        <f>73.06</f>
        <v>73.06</v>
      </c>
      <c r="AF625" s="31"/>
      <c r="AG625" s="31"/>
    </row>
    <row r="626" spans="1:33" s="1" customFormat="1" ht="18.75" customHeight="1">
      <c r="A626" s="24" t="s">
        <v>3790</v>
      </c>
      <c r="B626" s="25" t="s">
        <v>3791</v>
      </c>
      <c r="C626" s="25"/>
      <c r="D626" s="25"/>
      <c r="E626" s="26" t="s">
        <v>3792</v>
      </c>
      <c r="F626" s="26"/>
      <c r="G626" s="26"/>
      <c r="H626" s="26"/>
      <c r="I626" s="26"/>
      <c r="J626" s="27" t="s">
        <v>2056</v>
      </c>
      <c r="K626" s="27"/>
      <c r="L626" s="27"/>
      <c r="M626" s="27"/>
      <c r="N626" s="28">
        <f>73.06</f>
        <v>73.06</v>
      </c>
      <c r="O626" s="28"/>
      <c r="P626" s="28"/>
      <c r="Q626" s="27" t="s">
        <v>2032</v>
      </c>
      <c r="R626" s="27"/>
      <c r="S626" s="29" t="s">
        <v>2032</v>
      </c>
      <c r="T626" s="29"/>
      <c r="U626" s="29"/>
      <c r="V626" s="29"/>
      <c r="W626" s="30" t="s">
        <v>2032</v>
      </c>
      <c r="X626" s="29" t="s">
        <v>2032</v>
      </c>
      <c r="Y626" s="29"/>
      <c r="Z626" s="29"/>
      <c r="AA626" s="29"/>
      <c r="AB626" s="27" t="s">
        <v>2056</v>
      </c>
      <c r="AC626" s="27"/>
      <c r="AD626" s="27"/>
      <c r="AE626" s="31">
        <f>73.06</f>
        <v>73.06</v>
      </c>
      <c r="AF626" s="31"/>
      <c r="AG626" s="31"/>
    </row>
    <row r="627" spans="1:33" s="1" customFormat="1" ht="18.75" customHeight="1">
      <c r="A627" s="24" t="s">
        <v>3793</v>
      </c>
      <c r="B627" s="25" t="s">
        <v>3794</v>
      </c>
      <c r="C627" s="25"/>
      <c r="D627" s="25"/>
      <c r="E627" s="26" t="s">
        <v>3795</v>
      </c>
      <c r="F627" s="26"/>
      <c r="G627" s="26"/>
      <c r="H627" s="26"/>
      <c r="I627" s="26"/>
      <c r="J627" s="27" t="s">
        <v>2056</v>
      </c>
      <c r="K627" s="27"/>
      <c r="L627" s="27"/>
      <c r="M627" s="27"/>
      <c r="N627" s="28">
        <f>73.06</f>
        <v>73.06</v>
      </c>
      <c r="O627" s="28"/>
      <c r="P627" s="28"/>
      <c r="Q627" s="27" t="s">
        <v>2032</v>
      </c>
      <c r="R627" s="27"/>
      <c r="S627" s="29" t="s">
        <v>2032</v>
      </c>
      <c r="T627" s="29"/>
      <c r="U627" s="29"/>
      <c r="V627" s="29"/>
      <c r="W627" s="30" t="s">
        <v>2032</v>
      </c>
      <c r="X627" s="29" t="s">
        <v>2032</v>
      </c>
      <c r="Y627" s="29"/>
      <c r="Z627" s="29"/>
      <c r="AA627" s="29"/>
      <c r="AB627" s="27" t="s">
        <v>2056</v>
      </c>
      <c r="AC627" s="27"/>
      <c r="AD627" s="27"/>
      <c r="AE627" s="31">
        <f>73.06</f>
        <v>73.06</v>
      </c>
      <c r="AF627" s="31"/>
      <c r="AG627" s="31"/>
    </row>
    <row r="628" spans="1:33" s="1" customFormat="1" ht="33" customHeight="1">
      <c r="A628" s="24" t="s">
        <v>3796</v>
      </c>
      <c r="B628" s="25" t="s">
        <v>3797</v>
      </c>
      <c r="C628" s="25"/>
      <c r="D628" s="25"/>
      <c r="E628" s="26" t="s">
        <v>3798</v>
      </c>
      <c r="F628" s="26"/>
      <c r="G628" s="26"/>
      <c r="H628" s="26"/>
      <c r="I628" s="26"/>
      <c r="J628" s="27" t="s">
        <v>2056</v>
      </c>
      <c r="K628" s="27"/>
      <c r="L628" s="27"/>
      <c r="M628" s="27"/>
      <c r="N628" s="28">
        <f>1030</f>
        <v>1030</v>
      </c>
      <c r="O628" s="28"/>
      <c r="P628" s="28"/>
      <c r="Q628" s="27" t="s">
        <v>2032</v>
      </c>
      <c r="R628" s="27"/>
      <c r="S628" s="29" t="s">
        <v>2032</v>
      </c>
      <c r="T628" s="29"/>
      <c r="U628" s="29"/>
      <c r="V628" s="29"/>
      <c r="W628" s="30" t="s">
        <v>2032</v>
      </c>
      <c r="X628" s="29" t="s">
        <v>2032</v>
      </c>
      <c r="Y628" s="29"/>
      <c r="Z628" s="29"/>
      <c r="AA628" s="29"/>
      <c r="AB628" s="27" t="s">
        <v>2056</v>
      </c>
      <c r="AC628" s="27"/>
      <c r="AD628" s="27"/>
      <c r="AE628" s="31">
        <f>1030</f>
        <v>1030</v>
      </c>
      <c r="AF628" s="31"/>
      <c r="AG628" s="31"/>
    </row>
    <row r="629" spans="1:33" s="1" customFormat="1" ht="18.75" customHeight="1">
      <c r="A629" s="24" t="s">
        <v>3799</v>
      </c>
      <c r="B629" s="25" t="s">
        <v>2516</v>
      </c>
      <c r="C629" s="25"/>
      <c r="D629" s="25"/>
      <c r="E629" s="26" t="s">
        <v>3800</v>
      </c>
      <c r="F629" s="26"/>
      <c r="G629" s="26"/>
      <c r="H629" s="26"/>
      <c r="I629" s="26"/>
      <c r="J629" s="27" t="s">
        <v>2056</v>
      </c>
      <c r="K629" s="27"/>
      <c r="L629" s="27"/>
      <c r="M629" s="27"/>
      <c r="N629" s="28">
        <f>365</f>
        <v>365</v>
      </c>
      <c r="O629" s="28"/>
      <c r="P629" s="28"/>
      <c r="Q629" s="27" t="s">
        <v>2032</v>
      </c>
      <c r="R629" s="27"/>
      <c r="S629" s="29" t="s">
        <v>2032</v>
      </c>
      <c r="T629" s="29"/>
      <c r="U629" s="29"/>
      <c r="V629" s="29"/>
      <c r="W629" s="30" t="s">
        <v>2032</v>
      </c>
      <c r="X629" s="29" t="s">
        <v>2032</v>
      </c>
      <c r="Y629" s="29"/>
      <c r="Z629" s="29"/>
      <c r="AA629" s="29"/>
      <c r="AB629" s="27" t="s">
        <v>2056</v>
      </c>
      <c r="AC629" s="27"/>
      <c r="AD629" s="27"/>
      <c r="AE629" s="31">
        <f>365</f>
        <v>365</v>
      </c>
      <c r="AF629" s="31"/>
      <c r="AG629" s="31"/>
    </row>
    <row r="630" spans="1:33" s="1" customFormat="1" ht="18.75" customHeight="1">
      <c r="A630" s="24" t="s">
        <v>3801</v>
      </c>
      <c r="B630" s="25" t="s">
        <v>3802</v>
      </c>
      <c r="C630" s="25"/>
      <c r="D630" s="25"/>
      <c r="E630" s="26" t="s">
        <v>3803</v>
      </c>
      <c r="F630" s="26"/>
      <c r="G630" s="26"/>
      <c r="H630" s="26"/>
      <c r="I630" s="26"/>
      <c r="J630" s="27" t="s">
        <v>2056</v>
      </c>
      <c r="K630" s="27"/>
      <c r="L630" s="27"/>
      <c r="M630" s="27"/>
      <c r="N630" s="28">
        <f>100</f>
        <v>100</v>
      </c>
      <c r="O630" s="28"/>
      <c r="P630" s="28"/>
      <c r="Q630" s="27" t="s">
        <v>2032</v>
      </c>
      <c r="R630" s="27"/>
      <c r="S630" s="29" t="s">
        <v>2032</v>
      </c>
      <c r="T630" s="29"/>
      <c r="U630" s="29"/>
      <c r="V630" s="29"/>
      <c r="W630" s="30" t="s">
        <v>2032</v>
      </c>
      <c r="X630" s="29" t="s">
        <v>2032</v>
      </c>
      <c r="Y630" s="29"/>
      <c r="Z630" s="29"/>
      <c r="AA630" s="29"/>
      <c r="AB630" s="27" t="s">
        <v>2056</v>
      </c>
      <c r="AC630" s="27"/>
      <c r="AD630" s="27"/>
      <c r="AE630" s="31">
        <f>100</f>
        <v>100</v>
      </c>
      <c r="AF630" s="31"/>
      <c r="AG630" s="31"/>
    </row>
    <row r="631" spans="1:33" s="1" customFormat="1" ht="18.75" customHeight="1">
      <c r="A631" s="24" t="s">
        <v>3804</v>
      </c>
      <c r="B631" s="25" t="s">
        <v>3805</v>
      </c>
      <c r="C631" s="25"/>
      <c r="D631" s="25"/>
      <c r="E631" s="26" t="s">
        <v>3806</v>
      </c>
      <c r="F631" s="26"/>
      <c r="G631" s="26"/>
      <c r="H631" s="26"/>
      <c r="I631" s="26"/>
      <c r="J631" s="27" t="s">
        <v>2059</v>
      </c>
      <c r="K631" s="27"/>
      <c r="L631" s="27"/>
      <c r="M631" s="27"/>
      <c r="N631" s="28">
        <f>340</f>
        <v>340</v>
      </c>
      <c r="O631" s="28"/>
      <c r="P631" s="28"/>
      <c r="Q631" s="27" t="s">
        <v>2032</v>
      </c>
      <c r="R631" s="27"/>
      <c r="S631" s="29" t="s">
        <v>2032</v>
      </c>
      <c r="T631" s="29"/>
      <c r="U631" s="29"/>
      <c r="V631" s="29"/>
      <c r="W631" s="30" t="s">
        <v>2032</v>
      </c>
      <c r="X631" s="29" t="s">
        <v>2032</v>
      </c>
      <c r="Y631" s="29"/>
      <c r="Z631" s="29"/>
      <c r="AA631" s="29"/>
      <c r="AB631" s="27" t="s">
        <v>2059</v>
      </c>
      <c r="AC631" s="27"/>
      <c r="AD631" s="27"/>
      <c r="AE631" s="31">
        <f>340</f>
        <v>340</v>
      </c>
      <c r="AF631" s="31"/>
      <c r="AG631" s="31"/>
    </row>
    <row r="632" spans="1:33" s="1" customFormat="1" ht="18.75" customHeight="1">
      <c r="A632" s="24" t="s">
        <v>3807</v>
      </c>
      <c r="B632" s="25" t="s">
        <v>2552</v>
      </c>
      <c r="C632" s="25"/>
      <c r="D632" s="25"/>
      <c r="E632" s="26" t="s">
        <v>3808</v>
      </c>
      <c r="F632" s="26"/>
      <c r="G632" s="26"/>
      <c r="H632" s="26"/>
      <c r="I632" s="26"/>
      <c r="J632" s="27" t="s">
        <v>2057</v>
      </c>
      <c r="K632" s="27"/>
      <c r="L632" s="27"/>
      <c r="M632" s="27"/>
      <c r="N632" s="28">
        <f>122.4</f>
        <v>122.4</v>
      </c>
      <c r="O632" s="28"/>
      <c r="P632" s="28"/>
      <c r="Q632" s="27" t="s">
        <v>2032</v>
      </c>
      <c r="R632" s="27"/>
      <c r="S632" s="29" t="s">
        <v>2032</v>
      </c>
      <c r="T632" s="29"/>
      <c r="U632" s="29"/>
      <c r="V632" s="29"/>
      <c r="W632" s="30" t="s">
        <v>2032</v>
      </c>
      <c r="X632" s="29" t="s">
        <v>2032</v>
      </c>
      <c r="Y632" s="29"/>
      <c r="Z632" s="29"/>
      <c r="AA632" s="29"/>
      <c r="AB632" s="27" t="s">
        <v>2057</v>
      </c>
      <c r="AC632" s="27"/>
      <c r="AD632" s="27"/>
      <c r="AE632" s="31">
        <f>122.4</f>
        <v>122.4</v>
      </c>
      <c r="AF632" s="31"/>
      <c r="AG632" s="31"/>
    </row>
    <row r="633" spans="1:33" s="1" customFormat="1" ht="33" customHeight="1">
      <c r="A633" s="24" t="s">
        <v>3809</v>
      </c>
      <c r="B633" s="25" t="s">
        <v>3810</v>
      </c>
      <c r="C633" s="25"/>
      <c r="D633" s="25"/>
      <c r="E633" s="26" t="s">
        <v>3811</v>
      </c>
      <c r="F633" s="26"/>
      <c r="G633" s="26"/>
      <c r="H633" s="26"/>
      <c r="I633" s="26"/>
      <c r="J633" s="27" t="s">
        <v>2056</v>
      </c>
      <c r="K633" s="27"/>
      <c r="L633" s="27"/>
      <c r="M633" s="27"/>
      <c r="N633" s="28">
        <f>290</f>
        <v>290</v>
      </c>
      <c r="O633" s="28"/>
      <c r="P633" s="28"/>
      <c r="Q633" s="27" t="s">
        <v>2032</v>
      </c>
      <c r="R633" s="27"/>
      <c r="S633" s="29" t="s">
        <v>2032</v>
      </c>
      <c r="T633" s="29"/>
      <c r="U633" s="29"/>
      <c r="V633" s="29"/>
      <c r="W633" s="30" t="s">
        <v>2032</v>
      </c>
      <c r="X633" s="29" t="s">
        <v>2032</v>
      </c>
      <c r="Y633" s="29"/>
      <c r="Z633" s="29"/>
      <c r="AA633" s="29"/>
      <c r="AB633" s="27" t="s">
        <v>2056</v>
      </c>
      <c r="AC633" s="27"/>
      <c r="AD633" s="27"/>
      <c r="AE633" s="31">
        <f>290</f>
        <v>290</v>
      </c>
      <c r="AF633" s="31"/>
      <c r="AG633" s="31"/>
    </row>
    <row r="634" spans="1:33" s="1" customFormat="1" ht="33" customHeight="1">
      <c r="A634" s="24" t="s">
        <v>3812</v>
      </c>
      <c r="B634" s="25" t="s">
        <v>3813</v>
      </c>
      <c r="C634" s="25"/>
      <c r="D634" s="25"/>
      <c r="E634" s="26" t="s">
        <v>3814</v>
      </c>
      <c r="F634" s="26"/>
      <c r="G634" s="26"/>
      <c r="H634" s="26"/>
      <c r="I634" s="26"/>
      <c r="J634" s="27" t="s">
        <v>2066</v>
      </c>
      <c r="K634" s="27"/>
      <c r="L634" s="27"/>
      <c r="M634" s="27"/>
      <c r="N634" s="28">
        <f>854</f>
        <v>854</v>
      </c>
      <c r="O634" s="28"/>
      <c r="P634" s="28"/>
      <c r="Q634" s="27" t="s">
        <v>2032</v>
      </c>
      <c r="R634" s="27"/>
      <c r="S634" s="29" t="s">
        <v>2032</v>
      </c>
      <c r="T634" s="29"/>
      <c r="U634" s="29"/>
      <c r="V634" s="29"/>
      <c r="W634" s="30" t="s">
        <v>2032</v>
      </c>
      <c r="X634" s="29" t="s">
        <v>2032</v>
      </c>
      <c r="Y634" s="29"/>
      <c r="Z634" s="29"/>
      <c r="AA634" s="29"/>
      <c r="AB634" s="27" t="s">
        <v>2066</v>
      </c>
      <c r="AC634" s="27"/>
      <c r="AD634" s="27"/>
      <c r="AE634" s="31">
        <f>854</f>
        <v>854</v>
      </c>
      <c r="AF634" s="31"/>
      <c r="AG634" s="31"/>
    </row>
    <row r="635" spans="1:33" s="1" customFormat="1" ht="18.75" customHeight="1">
      <c r="A635" s="24" t="s">
        <v>3815</v>
      </c>
      <c r="B635" s="25" t="s">
        <v>232</v>
      </c>
      <c r="C635" s="25"/>
      <c r="D635" s="25"/>
      <c r="E635" s="26" t="s">
        <v>233</v>
      </c>
      <c r="F635" s="26"/>
      <c r="G635" s="26"/>
      <c r="H635" s="26"/>
      <c r="I635" s="26"/>
      <c r="J635" s="27" t="s">
        <v>2056</v>
      </c>
      <c r="K635" s="27"/>
      <c r="L635" s="27"/>
      <c r="M635" s="27"/>
      <c r="N635" s="28">
        <f>0.01</f>
        <v>0.01</v>
      </c>
      <c r="O635" s="28"/>
      <c r="P635" s="28"/>
      <c r="Q635" s="27" t="s">
        <v>2032</v>
      </c>
      <c r="R635" s="27"/>
      <c r="S635" s="29" t="s">
        <v>2032</v>
      </c>
      <c r="T635" s="29"/>
      <c r="U635" s="29"/>
      <c r="V635" s="29"/>
      <c r="W635" s="30" t="s">
        <v>2032</v>
      </c>
      <c r="X635" s="29" t="s">
        <v>2032</v>
      </c>
      <c r="Y635" s="29"/>
      <c r="Z635" s="29"/>
      <c r="AA635" s="29"/>
      <c r="AB635" s="27" t="s">
        <v>2056</v>
      </c>
      <c r="AC635" s="27"/>
      <c r="AD635" s="27"/>
      <c r="AE635" s="31">
        <f>0.01</f>
        <v>0.01</v>
      </c>
      <c r="AF635" s="31"/>
      <c r="AG635" s="31"/>
    </row>
    <row r="636" spans="1:33" s="1" customFormat="1" ht="18.75" customHeight="1">
      <c r="A636" s="24" t="s">
        <v>234</v>
      </c>
      <c r="B636" s="25" t="s">
        <v>235</v>
      </c>
      <c r="C636" s="25"/>
      <c r="D636" s="25"/>
      <c r="E636" s="26" t="s">
        <v>236</v>
      </c>
      <c r="F636" s="26"/>
      <c r="G636" s="26"/>
      <c r="H636" s="26"/>
      <c r="I636" s="26"/>
      <c r="J636" s="27" t="s">
        <v>2060</v>
      </c>
      <c r="K636" s="27"/>
      <c r="L636" s="27"/>
      <c r="M636" s="27"/>
      <c r="N636" s="28">
        <f>900</f>
        <v>900</v>
      </c>
      <c r="O636" s="28"/>
      <c r="P636" s="28"/>
      <c r="Q636" s="27" t="s">
        <v>2032</v>
      </c>
      <c r="R636" s="27"/>
      <c r="S636" s="29" t="s">
        <v>2032</v>
      </c>
      <c r="T636" s="29"/>
      <c r="U636" s="29"/>
      <c r="V636" s="29"/>
      <c r="W636" s="30" t="s">
        <v>2032</v>
      </c>
      <c r="X636" s="29" t="s">
        <v>2032</v>
      </c>
      <c r="Y636" s="29"/>
      <c r="Z636" s="29"/>
      <c r="AA636" s="29"/>
      <c r="AB636" s="27" t="s">
        <v>2060</v>
      </c>
      <c r="AC636" s="27"/>
      <c r="AD636" s="27"/>
      <c r="AE636" s="31">
        <f>900</f>
        <v>900</v>
      </c>
      <c r="AF636" s="31"/>
      <c r="AG636" s="31"/>
    </row>
    <row r="637" spans="1:33" s="1" customFormat="1" ht="18.75" customHeight="1">
      <c r="A637" s="24" t="s">
        <v>237</v>
      </c>
      <c r="B637" s="25" t="s">
        <v>238</v>
      </c>
      <c r="C637" s="25"/>
      <c r="D637" s="25"/>
      <c r="E637" s="26" t="s">
        <v>239</v>
      </c>
      <c r="F637" s="26"/>
      <c r="G637" s="26"/>
      <c r="H637" s="26"/>
      <c r="I637" s="26"/>
      <c r="J637" s="27" t="s">
        <v>2057</v>
      </c>
      <c r="K637" s="27"/>
      <c r="L637" s="27"/>
      <c r="M637" s="27"/>
      <c r="N637" s="28">
        <f>700</f>
        <v>700</v>
      </c>
      <c r="O637" s="28"/>
      <c r="P637" s="28"/>
      <c r="Q637" s="27" t="s">
        <v>2032</v>
      </c>
      <c r="R637" s="27"/>
      <c r="S637" s="29" t="s">
        <v>2032</v>
      </c>
      <c r="T637" s="29"/>
      <c r="U637" s="29"/>
      <c r="V637" s="29"/>
      <c r="W637" s="30" t="s">
        <v>2032</v>
      </c>
      <c r="X637" s="29" t="s">
        <v>2032</v>
      </c>
      <c r="Y637" s="29"/>
      <c r="Z637" s="29"/>
      <c r="AA637" s="29"/>
      <c r="AB637" s="27" t="s">
        <v>2057</v>
      </c>
      <c r="AC637" s="27"/>
      <c r="AD637" s="27"/>
      <c r="AE637" s="31">
        <f>700</f>
        <v>700</v>
      </c>
      <c r="AF637" s="31"/>
      <c r="AG637" s="31"/>
    </row>
    <row r="638" spans="1:33" s="1" customFormat="1" ht="18.75" customHeight="1">
      <c r="A638" s="24" t="s">
        <v>240</v>
      </c>
      <c r="B638" s="25" t="s">
        <v>241</v>
      </c>
      <c r="C638" s="25"/>
      <c r="D638" s="25"/>
      <c r="E638" s="26" t="s">
        <v>242</v>
      </c>
      <c r="F638" s="26"/>
      <c r="G638" s="26"/>
      <c r="H638" s="26"/>
      <c r="I638" s="26"/>
      <c r="J638" s="27" t="s">
        <v>2058</v>
      </c>
      <c r="K638" s="27"/>
      <c r="L638" s="27"/>
      <c r="M638" s="27"/>
      <c r="N638" s="28">
        <f>324</f>
        <v>324</v>
      </c>
      <c r="O638" s="28"/>
      <c r="P638" s="28"/>
      <c r="Q638" s="27" t="s">
        <v>2032</v>
      </c>
      <c r="R638" s="27"/>
      <c r="S638" s="29" t="s">
        <v>2032</v>
      </c>
      <c r="T638" s="29"/>
      <c r="U638" s="29"/>
      <c r="V638" s="29"/>
      <c r="W638" s="30" t="s">
        <v>2032</v>
      </c>
      <c r="X638" s="29" t="s">
        <v>2032</v>
      </c>
      <c r="Y638" s="29"/>
      <c r="Z638" s="29"/>
      <c r="AA638" s="29"/>
      <c r="AB638" s="27" t="s">
        <v>2058</v>
      </c>
      <c r="AC638" s="27"/>
      <c r="AD638" s="27"/>
      <c r="AE638" s="31">
        <f>324</f>
        <v>324</v>
      </c>
      <c r="AF638" s="31"/>
      <c r="AG638" s="31"/>
    </row>
    <row r="639" spans="1:33" s="1" customFormat="1" ht="18.75" customHeight="1">
      <c r="A639" s="24" t="s">
        <v>243</v>
      </c>
      <c r="B639" s="25" t="s">
        <v>244</v>
      </c>
      <c r="C639" s="25"/>
      <c r="D639" s="25"/>
      <c r="E639" s="26" t="s">
        <v>245</v>
      </c>
      <c r="F639" s="26"/>
      <c r="G639" s="26"/>
      <c r="H639" s="26"/>
      <c r="I639" s="26"/>
      <c r="J639" s="27" t="s">
        <v>2093</v>
      </c>
      <c r="K639" s="27"/>
      <c r="L639" s="27"/>
      <c r="M639" s="27"/>
      <c r="N639" s="28">
        <f>5400</f>
        <v>5400</v>
      </c>
      <c r="O639" s="28"/>
      <c r="P639" s="28"/>
      <c r="Q639" s="27" t="s">
        <v>2032</v>
      </c>
      <c r="R639" s="27"/>
      <c r="S639" s="29" t="s">
        <v>2032</v>
      </c>
      <c r="T639" s="29"/>
      <c r="U639" s="29"/>
      <c r="V639" s="29"/>
      <c r="W639" s="30" t="s">
        <v>2032</v>
      </c>
      <c r="X639" s="29" t="s">
        <v>2032</v>
      </c>
      <c r="Y639" s="29"/>
      <c r="Z639" s="29"/>
      <c r="AA639" s="29"/>
      <c r="AB639" s="27" t="s">
        <v>2093</v>
      </c>
      <c r="AC639" s="27"/>
      <c r="AD639" s="27"/>
      <c r="AE639" s="31">
        <f>5400</f>
        <v>5400</v>
      </c>
      <c r="AF639" s="31"/>
      <c r="AG639" s="31"/>
    </row>
    <row r="640" spans="1:33" s="1" customFormat="1" ht="18.75" customHeight="1">
      <c r="A640" s="24" t="s">
        <v>246</v>
      </c>
      <c r="B640" s="25" t="s">
        <v>247</v>
      </c>
      <c r="C640" s="25"/>
      <c r="D640" s="25"/>
      <c r="E640" s="26" t="s">
        <v>248</v>
      </c>
      <c r="F640" s="26"/>
      <c r="G640" s="26"/>
      <c r="H640" s="26"/>
      <c r="I640" s="26"/>
      <c r="J640" s="27" t="s">
        <v>2056</v>
      </c>
      <c r="K640" s="27"/>
      <c r="L640" s="27"/>
      <c r="M640" s="27"/>
      <c r="N640" s="28">
        <f>195.84</f>
        <v>195.84</v>
      </c>
      <c r="O640" s="28"/>
      <c r="P640" s="28"/>
      <c r="Q640" s="27" t="s">
        <v>2032</v>
      </c>
      <c r="R640" s="27"/>
      <c r="S640" s="29" t="s">
        <v>2032</v>
      </c>
      <c r="T640" s="29"/>
      <c r="U640" s="29"/>
      <c r="V640" s="29"/>
      <c r="W640" s="30" t="s">
        <v>2032</v>
      </c>
      <c r="X640" s="29" t="s">
        <v>2032</v>
      </c>
      <c r="Y640" s="29"/>
      <c r="Z640" s="29"/>
      <c r="AA640" s="29"/>
      <c r="AB640" s="27" t="s">
        <v>2056</v>
      </c>
      <c r="AC640" s="27"/>
      <c r="AD640" s="27"/>
      <c r="AE640" s="31">
        <f>195.84</f>
        <v>195.84</v>
      </c>
      <c r="AF640" s="31"/>
      <c r="AG640" s="31"/>
    </row>
    <row r="641" spans="1:33" s="1" customFormat="1" ht="33" customHeight="1">
      <c r="A641" s="24" t="s">
        <v>249</v>
      </c>
      <c r="B641" s="25" t="s">
        <v>250</v>
      </c>
      <c r="C641" s="25"/>
      <c r="D641" s="25"/>
      <c r="E641" s="26" t="s">
        <v>251</v>
      </c>
      <c r="F641" s="26"/>
      <c r="G641" s="26"/>
      <c r="H641" s="26"/>
      <c r="I641" s="26"/>
      <c r="J641" s="27" t="s">
        <v>2061</v>
      </c>
      <c r="K641" s="27"/>
      <c r="L641" s="27"/>
      <c r="M641" s="27"/>
      <c r="N641" s="28">
        <f>3000</f>
        <v>3000</v>
      </c>
      <c r="O641" s="28"/>
      <c r="P641" s="28"/>
      <c r="Q641" s="27" t="s">
        <v>2032</v>
      </c>
      <c r="R641" s="27"/>
      <c r="S641" s="29" t="s">
        <v>2032</v>
      </c>
      <c r="T641" s="29"/>
      <c r="U641" s="29"/>
      <c r="V641" s="29"/>
      <c r="W641" s="30" t="s">
        <v>2032</v>
      </c>
      <c r="X641" s="29" t="s">
        <v>2032</v>
      </c>
      <c r="Y641" s="29"/>
      <c r="Z641" s="29"/>
      <c r="AA641" s="29"/>
      <c r="AB641" s="27" t="s">
        <v>2061</v>
      </c>
      <c r="AC641" s="27"/>
      <c r="AD641" s="27"/>
      <c r="AE641" s="31">
        <f>3000</f>
        <v>3000</v>
      </c>
      <c r="AF641" s="31"/>
      <c r="AG641" s="31"/>
    </row>
    <row r="642" spans="1:33" s="1" customFormat="1" ht="33" customHeight="1">
      <c r="A642" s="24" t="s">
        <v>252</v>
      </c>
      <c r="B642" s="25" t="s">
        <v>253</v>
      </c>
      <c r="C642" s="25"/>
      <c r="D642" s="25"/>
      <c r="E642" s="26" t="s">
        <v>254</v>
      </c>
      <c r="F642" s="26"/>
      <c r="G642" s="26"/>
      <c r="H642" s="26"/>
      <c r="I642" s="26"/>
      <c r="J642" s="27" t="s">
        <v>2056</v>
      </c>
      <c r="K642" s="27"/>
      <c r="L642" s="27"/>
      <c r="M642" s="27"/>
      <c r="N642" s="28">
        <f>1500</f>
        <v>1500</v>
      </c>
      <c r="O642" s="28"/>
      <c r="P642" s="28"/>
      <c r="Q642" s="27" t="s">
        <v>2032</v>
      </c>
      <c r="R642" s="27"/>
      <c r="S642" s="29" t="s">
        <v>2032</v>
      </c>
      <c r="T642" s="29"/>
      <c r="U642" s="29"/>
      <c r="V642" s="29"/>
      <c r="W642" s="30" t="s">
        <v>2032</v>
      </c>
      <c r="X642" s="29" t="s">
        <v>2032</v>
      </c>
      <c r="Y642" s="29"/>
      <c r="Z642" s="29"/>
      <c r="AA642" s="29"/>
      <c r="AB642" s="27" t="s">
        <v>2056</v>
      </c>
      <c r="AC642" s="27"/>
      <c r="AD642" s="27"/>
      <c r="AE642" s="31">
        <f>1500</f>
        <v>1500</v>
      </c>
      <c r="AF642" s="31"/>
      <c r="AG642" s="31"/>
    </row>
    <row r="643" spans="1:33" s="1" customFormat="1" ht="18.75" customHeight="1">
      <c r="A643" s="24" t="s">
        <v>255</v>
      </c>
      <c r="B643" s="25" t="s">
        <v>256</v>
      </c>
      <c r="C643" s="25"/>
      <c r="D643" s="25"/>
      <c r="E643" s="26" t="s">
        <v>257</v>
      </c>
      <c r="F643" s="26"/>
      <c r="G643" s="26"/>
      <c r="H643" s="26"/>
      <c r="I643" s="26"/>
      <c r="J643" s="27" t="s">
        <v>2056</v>
      </c>
      <c r="K643" s="27"/>
      <c r="L643" s="27"/>
      <c r="M643" s="27"/>
      <c r="N643" s="28">
        <f>2461</f>
        <v>2461</v>
      </c>
      <c r="O643" s="28"/>
      <c r="P643" s="28"/>
      <c r="Q643" s="27" t="s">
        <v>2032</v>
      </c>
      <c r="R643" s="27"/>
      <c r="S643" s="29" t="s">
        <v>2032</v>
      </c>
      <c r="T643" s="29"/>
      <c r="U643" s="29"/>
      <c r="V643" s="29"/>
      <c r="W643" s="30" t="s">
        <v>2032</v>
      </c>
      <c r="X643" s="29" t="s">
        <v>2032</v>
      </c>
      <c r="Y643" s="29"/>
      <c r="Z643" s="29"/>
      <c r="AA643" s="29"/>
      <c r="AB643" s="27" t="s">
        <v>2056</v>
      </c>
      <c r="AC643" s="27"/>
      <c r="AD643" s="27"/>
      <c r="AE643" s="31">
        <f>2461</f>
        <v>2461</v>
      </c>
      <c r="AF643" s="31"/>
      <c r="AG643" s="31"/>
    </row>
    <row r="644" spans="1:33" s="1" customFormat="1" ht="18.75" customHeight="1">
      <c r="A644" s="24" t="s">
        <v>258</v>
      </c>
      <c r="B644" s="25" t="s">
        <v>259</v>
      </c>
      <c r="C644" s="25"/>
      <c r="D644" s="25"/>
      <c r="E644" s="26" t="s">
        <v>257</v>
      </c>
      <c r="F644" s="26"/>
      <c r="G644" s="26"/>
      <c r="H644" s="26"/>
      <c r="I644" s="26"/>
      <c r="J644" s="27" t="s">
        <v>2056</v>
      </c>
      <c r="K644" s="27"/>
      <c r="L644" s="27"/>
      <c r="M644" s="27"/>
      <c r="N644" s="28">
        <f>1391</f>
        <v>1391</v>
      </c>
      <c r="O644" s="28"/>
      <c r="P644" s="28"/>
      <c r="Q644" s="27" t="s">
        <v>2032</v>
      </c>
      <c r="R644" s="27"/>
      <c r="S644" s="29" t="s">
        <v>2032</v>
      </c>
      <c r="T644" s="29"/>
      <c r="U644" s="29"/>
      <c r="V644" s="29"/>
      <c r="W644" s="30" t="s">
        <v>2032</v>
      </c>
      <c r="X644" s="29" t="s">
        <v>2032</v>
      </c>
      <c r="Y644" s="29"/>
      <c r="Z644" s="29"/>
      <c r="AA644" s="29"/>
      <c r="AB644" s="27" t="s">
        <v>2056</v>
      </c>
      <c r="AC644" s="27"/>
      <c r="AD644" s="27"/>
      <c r="AE644" s="31">
        <f>1391</f>
        <v>1391</v>
      </c>
      <c r="AF644" s="31"/>
      <c r="AG644" s="31"/>
    </row>
    <row r="645" spans="1:33" s="1" customFormat="1" ht="18.75" customHeight="1">
      <c r="A645" s="24" t="s">
        <v>260</v>
      </c>
      <c r="B645" s="25" t="s">
        <v>261</v>
      </c>
      <c r="C645" s="25"/>
      <c r="D645" s="25"/>
      <c r="E645" s="26" t="s">
        <v>262</v>
      </c>
      <c r="F645" s="26"/>
      <c r="G645" s="26"/>
      <c r="H645" s="26"/>
      <c r="I645" s="26"/>
      <c r="J645" s="27" t="s">
        <v>2056</v>
      </c>
      <c r="K645" s="27"/>
      <c r="L645" s="27"/>
      <c r="M645" s="27"/>
      <c r="N645" s="28">
        <f>1377</f>
        <v>1377</v>
      </c>
      <c r="O645" s="28"/>
      <c r="P645" s="28"/>
      <c r="Q645" s="27" t="s">
        <v>2032</v>
      </c>
      <c r="R645" s="27"/>
      <c r="S645" s="29" t="s">
        <v>2032</v>
      </c>
      <c r="T645" s="29"/>
      <c r="U645" s="29"/>
      <c r="V645" s="29"/>
      <c r="W645" s="30" t="s">
        <v>2032</v>
      </c>
      <c r="X645" s="29" t="s">
        <v>2032</v>
      </c>
      <c r="Y645" s="29"/>
      <c r="Z645" s="29"/>
      <c r="AA645" s="29"/>
      <c r="AB645" s="27" t="s">
        <v>2056</v>
      </c>
      <c r="AC645" s="27"/>
      <c r="AD645" s="27"/>
      <c r="AE645" s="31">
        <f>1377</f>
        <v>1377</v>
      </c>
      <c r="AF645" s="31"/>
      <c r="AG645" s="31"/>
    </row>
    <row r="646" spans="1:33" s="1" customFormat="1" ht="18.75" customHeight="1">
      <c r="A646" s="24" t="s">
        <v>263</v>
      </c>
      <c r="B646" s="25" t="s">
        <v>264</v>
      </c>
      <c r="C646" s="25"/>
      <c r="D646" s="25"/>
      <c r="E646" s="26" t="s">
        <v>265</v>
      </c>
      <c r="F646" s="26"/>
      <c r="G646" s="26"/>
      <c r="H646" s="26"/>
      <c r="I646" s="26"/>
      <c r="J646" s="27" t="s">
        <v>2057</v>
      </c>
      <c r="K646" s="27"/>
      <c r="L646" s="27"/>
      <c r="M646" s="27"/>
      <c r="N646" s="28">
        <f>550</f>
        <v>550</v>
      </c>
      <c r="O646" s="28"/>
      <c r="P646" s="28"/>
      <c r="Q646" s="27" t="s">
        <v>2032</v>
      </c>
      <c r="R646" s="27"/>
      <c r="S646" s="29" t="s">
        <v>2032</v>
      </c>
      <c r="T646" s="29"/>
      <c r="U646" s="29"/>
      <c r="V646" s="29"/>
      <c r="W646" s="30" t="s">
        <v>2032</v>
      </c>
      <c r="X646" s="29" t="s">
        <v>2032</v>
      </c>
      <c r="Y646" s="29"/>
      <c r="Z646" s="29"/>
      <c r="AA646" s="29"/>
      <c r="AB646" s="27" t="s">
        <v>2057</v>
      </c>
      <c r="AC646" s="27"/>
      <c r="AD646" s="27"/>
      <c r="AE646" s="31">
        <f>550</f>
        <v>550</v>
      </c>
      <c r="AF646" s="31"/>
      <c r="AG646" s="31"/>
    </row>
    <row r="647" spans="1:33" s="1" customFormat="1" ht="18.75" customHeight="1">
      <c r="A647" s="24" t="s">
        <v>266</v>
      </c>
      <c r="B647" s="25" t="s">
        <v>267</v>
      </c>
      <c r="C647" s="25"/>
      <c r="D647" s="25"/>
      <c r="E647" s="26" t="s">
        <v>268</v>
      </c>
      <c r="F647" s="26"/>
      <c r="G647" s="26"/>
      <c r="H647" s="26"/>
      <c r="I647" s="26"/>
      <c r="J647" s="27" t="s">
        <v>2056</v>
      </c>
      <c r="K647" s="27"/>
      <c r="L647" s="27"/>
      <c r="M647" s="27"/>
      <c r="N647" s="28">
        <f>50</f>
        <v>50</v>
      </c>
      <c r="O647" s="28"/>
      <c r="P647" s="28"/>
      <c r="Q647" s="27" t="s">
        <v>2032</v>
      </c>
      <c r="R647" s="27"/>
      <c r="S647" s="29" t="s">
        <v>2032</v>
      </c>
      <c r="T647" s="29"/>
      <c r="U647" s="29"/>
      <c r="V647" s="29"/>
      <c r="W647" s="30" t="s">
        <v>2032</v>
      </c>
      <c r="X647" s="29" t="s">
        <v>2032</v>
      </c>
      <c r="Y647" s="29"/>
      <c r="Z647" s="29"/>
      <c r="AA647" s="29"/>
      <c r="AB647" s="27" t="s">
        <v>2056</v>
      </c>
      <c r="AC647" s="27"/>
      <c r="AD647" s="27"/>
      <c r="AE647" s="31">
        <f>50</f>
        <v>50</v>
      </c>
      <c r="AF647" s="31"/>
      <c r="AG647" s="31"/>
    </row>
    <row r="648" spans="1:33" s="1" customFormat="1" ht="33" customHeight="1">
      <c r="A648" s="24" t="s">
        <v>269</v>
      </c>
      <c r="B648" s="25" t="s">
        <v>270</v>
      </c>
      <c r="C648" s="25"/>
      <c r="D648" s="25"/>
      <c r="E648" s="26" t="s">
        <v>271</v>
      </c>
      <c r="F648" s="26"/>
      <c r="G648" s="26"/>
      <c r="H648" s="26"/>
      <c r="I648" s="26"/>
      <c r="J648" s="27" t="s">
        <v>2065</v>
      </c>
      <c r="K648" s="27"/>
      <c r="L648" s="27"/>
      <c r="M648" s="27"/>
      <c r="N648" s="28">
        <f>1760</f>
        <v>1760</v>
      </c>
      <c r="O648" s="28"/>
      <c r="P648" s="28"/>
      <c r="Q648" s="27" t="s">
        <v>2032</v>
      </c>
      <c r="R648" s="27"/>
      <c r="S648" s="29" t="s">
        <v>2032</v>
      </c>
      <c r="T648" s="29"/>
      <c r="U648" s="29"/>
      <c r="V648" s="29"/>
      <c r="W648" s="30" t="s">
        <v>2032</v>
      </c>
      <c r="X648" s="29" t="s">
        <v>2032</v>
      </c>
      <c r="Y648" s="29"/>
      <c r="Z648" s="29"/>
      <c r="AA648" s="29"/>
      <c r="AB648" s="27" t="s">
        <v>2065</v>
      </c>
      <c r="AC648" s="27"/>
      <c r="AD648" s="27"/>
      <c r="AE648" s="31">
        <f>1760</f>
        <v>1760</v>
      </c>
      <c r="AF648" s="31"/>
      <c r="AG648" s="31"/>
    </row>
    <row r="649" spans="1:33" s="1" customFormat="1" ht="33" customHeight="1">
      <c r="A649" s="24" t="s">
        <v>272</v>
      </c>
      <c r="B649" s="25" t="s">
        <v>273</v>
      </c>
      <c r="C649" s="25"/>
      <c r="D649" s="25"/>
      <c r="E649" s="26" t="s">
        <v>274</v>
      </c>
      <c r="F649" s="26"/>
      <c r="G649" s="26"/>
      <c r="H649" s="26"/>
      <c r="I649" s="26"/>
      <c r="J649" s="27" t="s">
        <v>2065</v>
      </c>
      <c r="K649" s="27"/>
      <c r="L649" s="27"/>
      <c r="M649" s="27"/>
      <c r="N649" s="28">
        <f>5824</f>
        <v>5824</v>
      </c>
      <c r="O649" s="28"/>
      <c r="P649" s="28"/>
      <c r="Q649" s="27" t="s">
        <v>2032</v>
      </c>
      <c r="R649" s="27"/>
      <c r="S649" s="29" t="s">
        <v>2032</v>
      </c>
      <c r="T649" s="29"/>
      <c r="U649" s="29"/>
      <c r="V649" s="29"/>
      <c r="W649" s="30" t="s">
        <v>2032</v>
      </c>
      <c r="X649" s="29" t="s">
        <v>2032</v>
      </c>
      <c r="Y649" s="29"/>
      <c r="Z649" s="29"/>
      <c r="AA649" s="29"/>
      <c r="AB649" s="27" t="s">
        <v>2065</v>
      </c>
      <c r="AC649" s="27"/>
      <c r="AD649" s="27"/>
      <c r="AE649" s="31">
        <f>5824</f>
        <v>5824</v>
      </c>
      <c r="AF649" s="31"/>
      <c r="AG649" s="31"/>
    </row>
    <row r="650" spans="1:33" s="1" customFormat="1" ht="33" customHeight="1">
      <c r="A650" s="24" t="s">
        <v>275</v>
      </c>
      <c r="B650" s="25" t="s">
        <v>276</v>
      </c>
      <c r="C650" s="25"/>
      <c r="D650" s="25"/>
      <c r="E650" s="26" t="s">
        <v>277</v>
      </c>
      <c r="F650" s="26"/>
      <c r="G650" s="26"/>
      <c r="H650" s="26"/>
      <c r="I650" s="26"/>
      <c r="J650" s="27" t="s">
        <v>2062</v>
      </c>
      <c r="K650" s="27"/>
      <c r="L650" s="27"/>
      <c r="M650" s="27"/>
      <c r="N650" s="28">
        <f>6300</f>
        <v>6300</v>
      </c>
      <c r="O650" s="28"/>
      <c r="P650" s="28"/>
      <c r="Q650" s="27" t="s">
        <v>2032</v>
      </c>
      <c r="R650" s="27"/>
      <c r="S650" s="29" t="s">
        <v>2032</v>
      </c>
      <c r="T650" s="29"/>
      <c r="U650" s="29"/>
      <c r="V650" s="29"/>
      <c r="W650" s="30" t="s">
        <v>2032</v>
      </c>
      <c r="X650" s="29" t="s">
        <v>2032</v>
      </c>
      <c r="Y650" s="29"/>
      <c r="Z650" s="29"/>
      <c r="AA650" s="29"/>
      <c r="AB650" s="27" t="s">
        <v>2062</v>
      </c>
      <c r="AC650" s="27"/>
      <c r="AD650" s="27"/>
      <c r="AE650" s="31">
        <f>6300</f>
        <v>6300</v>
      </c>
      <c r="AF650" s="31"/>
      <c r="AG650" s="31"/>
    </row>
    <row r="651" spans="1:33" s="1" customFormat="1" ht="18.75" customHeight="1">
      <c r="A651" s="24" t="s">
        <v>278</v>
      </c>
      <c r="B651" s="25" t="s">
        <v>279</v>
      </c>
      <c r="C651" s="25"/>
      <c r="D651" s="25"/>
      <c r="E651" s="26" t="s">
        <v>280</v>
      </c>
      <c r="F651" s="26"/>
      <c r="G651" s="26"/>
      <c r="H651" s="26"/>
      <c r="I651" s="26"/>
      <c r="J651" s="27" t="s">
        <v>2085</v>
      </c>
      <c r="K651" s="27"/>
      <c r="L651" s="27"/>
      <c r="M651" s="27"/>
      <c r="N651" s="28">
        <f>120</f>
        <v>120</v>
      </c>
      <c r="O651" s="28"/>
      <c r="P651" s="28"/>
      <c r="Q651" s="27" t="s">
        <v>2032</v>
      </c>
      <c r="R651" s="27"/>
      <c r="S651" s="29" t="s">
        <v>2032</v>
      </c>
      <c r="T651" s="29"/>
      <c r="U651" s="29"/>
      <c r="V651" s="29"/>
      <c r="W651" s="30" t="s">
        <v>2032</v>
      </c>
      <c r="X651" s="29" t="s">
        <v>2032</v>
      </c>
      <c r="Y651" s="29"/>
      <c r="Z651" s="29"/>
      <c r="AA651" s="29"/>
      <c r="AB651" s="27" t="s">
        <v>2085</v>
      </c>
      <c r="AC651" s="27"/>
      <c r="AD651" s="27"/>
      <c r="AE651" s="31">
        <f>120</f>
        <v>120</v>
      </c>
      <c r="AF651" s="31"/>
      <c r="AG651" s="31"/>
    </row>
    <row r="652" spans="1:33" s="1" customFormat="1" ht="18.75" customHeight="1">
      <c r="A652" s="24" t="s">
        <v>281</v>
      </c>
      <c r="B652" s="25" t="s">
        <v>282</v>
      </c>
      <c r="C652" s="25"/>
      <c r="D652" s="25"/>
      <c r="E652" s="26" t="s">
        <v>283</v>
      </c>
      <c r="F652" s="26"/>
      <c r="G652" s="26"/>
      <c r="H652" s="26"/>
      <c r="I652" s="26"/>
      <c r="J652" s="27" t="s">
        <v>2060</v>
      </c>
      <c r="K652" s="27"/>
      <c r="L652" s="27"/>
      <c r="M652" s="27"/>
      <c r="N652" s="28">
        <f>70</f>
        <v>70</v>
      </c>
      <c r="O652" s="28"/>
      <c r="P652" s="28"/>
      <c r="Q652" s="27" t="s">
        <v>2032</v>
      </c>
      <c r="R652" s="27"/>
      <c r="S652" s="29" t="s">
        <v>2032</v>
      </c>
      <c r="T652" s="29"/>
      <c r="U652" s="29"/>
      <c r="V652" s="29"/>
      <c r="W652" s="30" t="s">
        <v>2032</v>
      </c>
      <c r="X652" s="29" t="s">
        <v>2032</v>
      </c>
      <c r="Y652" s="29"/>
      <c r="Z652" s="29"/>
      <c r="AA652" s="29"/>
      <c r="AB652" s="27" t="s">
        <v>2060</v>
      </c>
      <c r="AC652" s="27"/>
      <c r="AD652" s="27"/>
      <c r="AE652" s="31">
        <f>70</f>
        <v>70</v>
      </c>
      <c r="AF652" s="31"/>
      <c r="AG652" s="31"/>
    </row>
    <row r="653" spans="1:33" s="1" customFormat="1" ht="18.75" customHeight="1">
      <c r="A653" s="24" t="s">
        <v>284</v>
      </c>
      <c r="B653" s="25" t="s">
        <v>285</v>
      </c>
      <c r="C653" s="25"/>
      <c r="D653" s="25"/>
      <c r="E653" s="26" t="s">
        <v>286</v>
      </c>
      <c r="F653" s="26"/>
      <c r="G653" s="26"/>
      <c r="H653" s="26"/>
      <c r="I653" s="26"/>
      <c r="J653" s="27" t="s">
        <v>2065</v>
      </c>
      <c r="K653" s="27"/>
      <c r="L653" s="27"/>
      <c r="M653" s="27"/>
      <c r="N653" s="28">
        <f>448</f>
        <v>448</v>
      </c>
      <c r="O653" s="28"/>
      <c r="P653" s="28"/>
      <c r="Q653" s="27" t="s">
        <v>2032</v>
      </c>
      <c r="R653" s="27"/>
      <c r="S653" s="29" t="s">
        <v>2032</v>
      </c>
      <c r="T653" s="29"/>
      <c r="U653" s="29"/>
      <c r="V653" s="29"/>
      <c r="W653" s="30" t="s">
        <v>2032</v>
      </c>
      <c r="X653" s="29" t="s">
        <v>2032</v>
      </c>
      <c r="Y653" s="29"/>
      <c r="Z653" s="29"/>
      <c r="AA653" s="29"/>
      <c r="AB653" s="27" t="s">
        <v>2065</v>
      </c>
      <c r="AC653" s="27"/>
      <c r="AD653" s="27"/>
      <c r="AE653" s="31">
        <f>448</f>
        <v>448</v>
      </c>
      <c r="AF653" s="31"/>
      <c r="AG653" s="31"/>
    </row>
    <row r="654" spans="1:33" s="1" customFormat="1" ht="33" customHeight="1">
      <c r="A654" s="24" t="s">
        <v>287</v>
      </c>
      <c r="B654" s="25" t="s">
        <v>288</v>
      </c>
      <c r="C654" s="25"/>
      <c r="D654" s="25"/>
      <c r="E654" s="26" t="s">
        <v>289</v>
      </c>
      <c r="F654" s="26"/>
      <c r="G654" s="26"/>
      <c r="H654" s="26"/>
      <c r="I654" s="26"/>
      <c r="J654" s="27" t="s">
        <v>2327</v>
      </c>
      <c r="K654" s="27"/>
      <c r="L654" s="27"/>
      <c r="M654" s="27"/>
      <c r="N654" s="28">
        <f>4600</f>
        <v>4600</v>
      </c>
      <c r="O654" s="28"/>
      <c r="P654" s="28"/>
      <c r="Q654" s="27" t="s">
        <v>2032</v>
      </c>
      <c r="R654" s="27"/>
      <c r="S654" s="29" t="s">
        <v>2032</v>
      </c>
      <c r="T654" s="29"/>
      <c r="U654" s="29"/>
      <c r="V654" s="29"/>
      <c r="W654" s="30" t="s">
        <v>2032</v>
      </c>
      <c r="X654" s="29" t="s">
        <v>2032</v>
      </c>
      <c r="Y654" s="29"/>
      <c r="Z654" s="29"/>
      <c r="AA654" s="29"/>
      <c r="AB654" s="27" t="s">
        <v>2327</v>
      </c>
      <c r="AC654" s="27"/>
      <c r="AD654" s="27"/>
      <c r="AE654" s="31">
        <f>4600</f>
        <v>4600</v>
      </c>
      <c r="AF654" s="31"/>
      <c r="AG654" s="31"/>
    </row>
    <row r="655" spans="1:33" s="1" customFormat="1" ht="33" customHeight="1">
      <c r="A655" s="24" t="s">
        <v>290</v>
      </c>
      <c r="B655" s="25" t="s">
        <v>291</v>
      </c>
      <c r="C655" s="25"/>
      <c r="D655" s="25"/>
      <c r="E655" s="26" t="s">
        <v>292</v>
      </c>
      <c r="F655" s="26"/>
      <c r="G655" s="26"/>
      <c r="H655" s="26"/>
      <c r="I655" s="26"/>
      <c r="J655" s="27" t="s">
        <v>2065</v>
      </c>
      <c r="K655" s="27"/>
      <c r="L655" s="27"/>
      <c r="M655" s="27"/>
      <c r="N655" s="28">
        <f>640</f>
        <v>640</v>
      </c>
      <c r="O655" s="28"/>
      <c r="P655" s="28"/>
      <c r="Q655" s="27" t="s">
        <v>2032</v>
      </c>
      <c r="R655" s="27"/>
      <c r="S655" s="29" t="s">
        <v>2032</v>
      </c>
      <c r="T655" s="29"/>
      <c r="U655" s="29"/>
      <c r="V655" s="29"/>
      <c r="W655" s="30" t="s">
        <v>2032</v>
      </c>
      <c r="X655" s="29" t="s">
        <v>2032</v>
      </c>
      <c r="Y655" s="29"/>
      <c r="Z655" s="29"/>
      <c r="AA655" s="29"/>
      <c r="AB655" s="27" t="s">
        <v>2065</v>
      </c>
      <c r="AC655" s="27"/>
      <c r="AD655" s="27"/>
      <c r="AE655" s="31">
        <f>640</f>
        <v>640</v>
      </c>
      <c r="AF655" s="31"/>
      <c r="AG655" s="31"/>
    </row>
    <row r="656" spans="1:33" s="1" customFormat="1" ht="33" customHeight="1">
      <c r="A656" s="24" t="s">
        <v>293</v>
      </c>
      <c r="B656" s="25" t="s">
        <v>294</v>
      </c>
      <c r="C656" s="25"/>
      <c r="D656" s="25"/>
      <c r="E656" s="26" t="s">
        <v>295</v>
      </c>
      <c r="F656" s="26"/>
      <c r="G656" s="26"/>
      <c r="H656" s="26"/>
      <c r="I656" s="26"/>
      <c r="J656" s="27" t="s">
        <v>2065</v>
      </c>
      <c r="K656" s="27"/>
      <c r="L656" s="27"/>
      <c r="M656" s="27"/>
      <c r="N656" s="28">
        <f>768</f>
        <v>768</v>
      </c>
      <c r="O656" s="28"/>
      <c r="P656" s="28"/>
      <c r="Q656" s="27" t="s">
        <v>2032</v>
      </c>
      <c r="R656" s="27"/>
      <c r="S656" s="29" t="s">
        <v>2032</v>
      </c>
      <c r="T656" s="29"/>
      <c r="U656" s="29"/>
      <c r="V656" s="29"/>
      <c r="W656" s="30" t="s">
        <v>2032</v>
      </c>
      <c r="X656" s="29" t="s">
        <v>2032</v>
      </c>
      <c r="Y656" s="29"/>
      <c r="Z656" s="29"/>
      <c r="AA656" s="29"/>
      <c r="AB656" s="27" t="s">
        <v>2065</v>
      </c>
      <c r="AC656" s="27"/>
      <c r="AD656" s="27"/>
      <c r="AE656" s="31">
        <f>768</f>
        <v>768</v>
      </c>
      <c r="AF656" s="31"/>
      <c r="AG656" s="31"/>
    </row>
    <row r="657" spans="1:33" s="1" customFormat="1" ht="33" customHeight="1">
      <c r="A657" s="24" t="s">
        <v>296</v>
      </c>
      <c r="B657" s="25" t="s">
        <v>297</v>
      </c>
      <c r="C657" s="25"/>
      <c r="D657" s="25"/>
      <c r="E657" s="26" t="s">
        <v>298</v>
      </c>
      <c r="F657" s="26"/>
      <c r="G657" s="26"/>
      <c r="H657" s="26"/>
      <c r="I657" s="26"/>
      <c r="J657" s="27" t="s">
        <v>2065</v>
      </c>
      <c r="K657" s="27"/>
      <c r="L657" s="27"/>
      <c r="M657" s="27"/>
      <c r="N657" s="28">
        <f>256</f>
        <v>256</v>
      </c>
      <c r="O657" s="28"/>
      <c r="P657" s="28"/>
      <c r="Q657" s="27" t="s">
        <v>2032</v>
      </c>
      <c r="R657" s="27"/>
      <c r="S657" s="29" t="s">
        <v>2032</v>
      </c>
      <c r="T657" s="29"/>
      <c r="U657" s="29"/>
      <c r="V657" s="29"/>
      <c r="W657" s="30" t="s">
        <v>2032</v>
      </c>
      <c r="X657" s="29" t="s">
        <v>2032</v>
      </c>
      <c r="Y657" s="29"/>
      <c r="Z657" s="29"/>
      <c r="AA657" s="29"/>
      <c r="AB657" s="27" t="s">
        <v>2065</v>
      </c>
      <c r="AC657" s="27"/>
      <c r="AD657" s="27"/>
      <c r="AE657" s="31">
        <f>256</f>
        <v>256</v>
      </c>
      <c r="AF657" s="31"/>
      <c r="AG657" s="31"/>
    </row>
    <row r="658" spans="1:33" s="1" customFormat="1" ht="33" customHeight="1">
      <c r="A658" s="24" t="s">
        <v>299</v>
      </c>
      <c r="B658" s="25" t="s">
        <v>300</v>
      </c>
      <c r="C658" s="25"/>
      <c r="D658" s="25"/>
      <c r="E658" s="26" t="s">
        <v>301</v>
      </c>
      <c r="F658" s="26"/>
      <c r="G658" s="26"/>
      <c r="H658" s="26"/>
      <c r="I658" s="26"/>
      <c r="J658" s="27" t="s">
        <v>2065</v>
      </c>
      <c r="K658" s="27"/>
      <c r="L658" s="27"/>
      <c r="M658" s="27"/>
      <c r="N658" s="28">
        <f>896</f>
        <v>896</v>
      </c>
      <c r="O658" s="28"/>
      <c r="P658" s="28"/>
      <c r="Q658" s="27" t="s">
        <v>2032</v>
      </c>
      <c r="R658" s="27"/>
      <c r="S658" s="29" t="s">
        <v>2032</v>
      </c>
      <c r="T658" s="29"/>
      <c r="U658" s="29"/>
      <c r="V658" s="29"/>
      <c r="W658" s="30" t="s">
        <v>2032</v>
      </c>
      <c r="X658" s="29" t="s">
        <v>2032</v>
      </c>
      <c r="Y658" s="29"/>
      <c r="Z658" s="29"/>
      <c r="AA658" s="29"/>
      <c r="AB658" s="27" t="s">
        <v>2065</v>
      </c>
      <c r="AC658" s="27"/>
      <c r="AD658" s="27"/>
      <c r="AE658" s="31">
        <f>896</f>
        <v>896</v>
      </c>
      <c r="AF658" s="31"/>
      <c r="AG658" s="31"/>
    </row>
    <row r="659" spans="1:33" s="1" customFormat="1" ht="33" customHeight="1">
      <c r="A659" s="24" t="s">
        <v>302</v>
      </c>
      <c r="B659" s="25" t="s">
        <v>303</v>
      </c>
      <c r="C659" s="25"/>
      <c r="D659" s="25"/>
      <c r="E659" s="26" t="s">
        <v>304</v>
      </c>
      <c r="F659" s="26"/>
      <c r="G659" s="26"/>
      <c r="H659" s="26"/>
      <c r="I659" s="26"/>
      <c r="J659" s="27" t="s">
        <v>2065</v>
      </c>
      <c r="K659" s="27"/>
      <c r="L659" s="27"/>
      <c r="M659" s="27"/>
      <c r="N659" s="28">
        <f>512</f>
        <v>512</v>
      </c>
      <c r="O659" s="28"/>
      <c r="P659" s="28"/>
      <c r="Q659" s="27" t="s">
        <v>2032</v>
      </c>
      <c r="R659" s="27"/>
      <c r="S659" s="29" t="s">
        <v>2032</v>
      </c>
      <c r="T659" s="29"/>
      <c r="U659" s="29"/>
      <c r="V659" s="29"/>
      <c r="W659" s="30" t="s">
        <v>2032</v>
      </c>
      <c r="X659" s="29" t="s">
        <v>2032</v>
      </c>
      <c r="Y659" s="29"/>
      <c r="Z659" s="29"/>
      <c r="AA659" s="29"/>
      <c r="AB659" s="27" t="s">
        <v>2065</v>
      </c>
      <c r="AC659" s="27"/>
      <c r="AD659" s="27"/>
      <c r="AE659" s="31">
        <f>512</f>
        <v>512</v>
      </c>
      <c r="AF659" s="31"/>
      <c r="AG659" s="31"/>
    </row>
    <row r="660" spans="1:33" s="1" customFormat="1" ht="18.75" customHeight="1">
      <c r="A660" s="24" t="s">
        <v>305</v>
      </c>
      <c r="B660" s="25" t="s">
        <v>306</v>
      </c>
      <c r="C660" s="25"/>
      <c r="D660" s="25"/>
      <c r="E660" s="26" t="s">
        <v>307</v>
      </c>
      <c r="F660" s="26"/>
      <c r="G660" s="26"/>
      <c r="H660" s="26"/>
      <c r="I660" s="26"/>
      <c r="J660" s="27" t="s">
        <v>2056</v>
      </c>
      <c r="K660" s="27"/>
      <c r="L660" s="27"/>
      <c r="M660" s="27"/>
      <c r="N660" s="28">
        <f>200</f>
        <v>200</v>
      </c>
      <c r="O660" s="28"/>
      <c r="P660" s="28"/>
      <c r="Q660" s="27" t="s">
        <v>2032</v>
      </c>
      <c r="R660" s="27"/>
      <c r="S660" s="29" t="s">
        <v>2032</v>
      </c>
      <c r="T660" s="29"/>
      <c r="U660" s="29"/>
      <c r="V660" s="29"/>
      <c r="W660" s="30" t="s">
        <v>2032</v>
      </c>
      <c r="X660" s="29" t="s">
        <v>2032</v>
      </c>
      <c r="Y660" s="29"/>
      <c r="Z660" s="29"/>
      <c r="AA660" s="29"/>
      <c r="AB660" s="27" t="s">
        <v>2056</v>
      </c>
      <c r="AC660" s="27"/>
      <c r="AD660" s="27"/>
      <c r="AE660" s="31">
        <f>200</f>
        <v>200</v>
      </c>
      <c r="AF660" s="31"/>
      <c r="AG660" s="31"/>
    </row>
    <row r="661" spans="1:33" s="1" customFormat="1" ht="33" customHeight="1">
      <c r="A661" s="24" t="s">
        <v>308</v>
      </c>
      <c r="B661" s="25" t="s">
        <v>309</v>
      </c>
      <c r="C661" s="25"/>
      <c r="D661" s="25"/>
      <c r="E661" s="26" t="s">
        <v>310</v>
      </c>
      <c r="F661" s="26"/>
      <c r="G661" s="26"/>
      <c r="H661" s="26"/>
      <c r="I661" s="26"/>
      <c r="J661" s="27" t="s">
        <v>2060</v>
      </c>
      <c r="K661" s="27"/>
      <c r="L661" s="27"/>
      <c r="M661" s="27"/>
      <c r="N661" s="28">
        <f>750</f>
        <v>750</v>
      </c>
      <c r="O661" s="28"/>
      <c r="P661" s="28"/>
      <c r="Q661" s="27" t="s">
        <v>2032</v>
      </c>
      <c r="R661" s="27"/>
      <c r="S661" s="29" t="s">
        <v>2032</v>
      </c>
      <c r="T661" s="29"/>
      <c r="U661" s="29"/>
      <c r="V661" s="29"/>
      <c r="W661" s="30" t="s">
        <v>2032</v>
      </c>
      <c r="X661" s="29" t="s">
        <v>2032</v>
      </c>
      <c r="Y661" s="29"/>
      <c r="Z661" s="29"/>
      <c r="AA661" s="29"/>
      <c r="AB661" s="27" t="s">
        <v>2060</v>
      </c>
      <c r="AC661" s="27"/>
      <c r="AD661" s="27"/>
      <c r="AE661" s="31">
        <f>750</f>
        <v>750</v>
      </c>
      <c r="AF661" s="31"/>
      <c r="AG661" s="31"/>
    </row>
    <row r="662" spans="1:33" s="1" customFormat="1" ht="18.75" customHeight="1">
      <c r="A662" s="24" t="s">
        <v>311</v>
      </c>
      <c r="B662" s="25" t="s">
        <v>312</v>
      </c>
      <c r="C662" s="25"/>
      <c r="D662" s="25"/>
      <c r="E662" s="26" t="s">
        <v>313</v>
      </c>
      <c r="F662" s="26"/>
      <c r="G662" s="26"/>
      <c r="H662" s="26"/>
      <c r="I662" s="26"/>
      <c r="J662" s="27" t="s">
        <v>2056</v>
      </c>
      <c r="K662" s="27"/>
      <c r="L662" s="27"/>
      <c r="M662" s="27"/>
      <c r="N662" s="28">
        <f>204.68</f>
        <v>204.68</v>
      </c>
      <c r="O662" s="28"/>
      <c r="P662" s="28"/>
      <c r="Q662" s="27" t="s">
        <v>2032</v>
      </c>
      <c r="R662" s="27"/>
      <c r="S662" s="29" t="s">
        <v>2032</v>
      </c>
      <c r="T662" s="29"/>
      <c r="U662" s="29"/>
      <c r="V662" s="29"/>
      <c r="W662" s="30" t="s">
        <v>2032</v>
      </c>
      <c r="X662" s="29" t="s">
        <v>2032</v>
      </c>
      <c r="Y662" s="29"/>
      <c r="Z662" s="29"/>
      <c r="AA662" s="29"/>
      <c r="AB662" s="27" t="s">
        <v>2056</v>
      </c>
      <c r="AC662" s="27"/>
      <c r="AD662" s="27"/>
      <c r="AE662" s="31">
        <f>204.68</f>
        <v>204.68</v>
      </c>
      <c r="AF662" s="31"/>
      <c r="AG662" s="31"/>
    </row>
    <row r="663" spans="1:33" s="1" customFormat="1" ht="33" customHeight="1">
      <c r="A663" s="24" t="s">
        <v>314</v>
      </c>
      <c r="B663" s="25" t="s">
        <v>315</v>
      </c>
      <c r="C663" s="25"/>
      <c r="D663" s="25"/>
      <c r="E663" s="26" t="s">
        <v>316</v>
      </c>
      <c r="F663" s="26"/>
      <c r="G663" s="26"/>
      <c r="H663" s="26"/>
      <c r="I663" s="26"/>
      <c r="J663" s="27" t="s">
        <v>2060</v>
      </c>
      <c r="K663" s="27"/>
      <c r="L663" s="27"/>
      <c r="M663" s="27"/>
      <c r="N663" s="28">
        <f>1740.8</f>
        <v>1740.8</v>
      </c>
      <c r="O663" s="28"/>
      <c r="P663" s="28"/>
      <c r="Q663" s="27" t="s">
        <v>2032</v>
      </c>
      <c r="R663" s="27"/>
      <c r="S663" s="29" t="s">
        <v>2032</v>
      </c>
      <c r="T663" s="29"/>
      <c r="U663" s="29"/>
      <c r="V663" s="29"/>
      <c r="W663" s="30" t="s">
        <v>2032</v>
      </c>
      <c r="X663" s="29" t="s">
        <v>2032</v>
      </c>
      <c r="Y663" s="29"/>
      <c r="Z663" s="29"/>
      <c r="AA663" s="29"/>
      <c r="AB663" s="27" t="s">
        <v>2060</v>
      </c>
      <c r="AC663" s="27"/>
      <c r="AD663" s="27"/>
      <c r="AE663" s="31">
        <f>1740.8</f>
        <v>1740.8</v>
      </c>
      <c r="AF663" s="31"/>
      <c r="AG663" s="31"/>
    </row>
    <row r="664" spans="1:33" s="1" customFormat="1" ht="33" customHeight="1">
      <c r="A664" s="24" t="s">
        <v>317</v>
      </c>
      <c r="B664" s="25" t="s">
        <v>318</v>
      </c>
      <c r="C664" s="25"/>
      <c r="D664" s="25"/>
      <c r="E664" s="26" t="s">
        <v>319</v>
      </c>
      <c r="F664" s="26"/>
      <c r="G664" s="26"/>
      <c r="H664" s="26"/>
      <c r="I664" s="26"/>
      <c r="J664" s="27" t="s">
        <v>2057</v>
      </c>
      <c r="K664" s="27"/>
      <c r="L664" s="27"/>
      <c r="M664" s="27"/>
      <c r="N664" s="28">
        <f>2000</f>
        <v>2000</v>
      </c>
      <c r="O664" s="28"/>
      <c r="P664" s="28"/>
      <c r="Q664" s="27" t="s">
        <v>2032</v>
      </c>
      <c r="R664" s="27"/>
      <c r="S664" s="29" t="s">
        <v>2032</v>
      </c>
      <c r="T664" s="29"/>
      <c r="U664" s="29"/>
      <c r="V664" s="29"/>
      <c r="W664" s="30" t="s">
        <v>2032</v>
      </c>
      <c r="X664" s="29" t="s">
        <v>2032</v>
      </c>
      <c r="Y664" s="29"/>
      <c r="Z664" s="29"/>
      <c r="AA664" s="29"/>
      <c r="AB664" s="27" t="s">
        <v>2057</v>
      </c>
      <c r="AC664" s="27"/>
      <c r="AD664" s="27"/>
      <c r="AE664" s="31">
        <f>2000</f>
        <v>2000</v>
      </c>
      <c r="AF664" s="31"/>
      <c r="AG664" s="31"/>
    </row>
    <row r="665" spans="1:33" s="1" customFormat="1" ht="18.75" customHeight="1">
      <c r="A665" s="24" t="s">
        <v>320</v>
      </c>
      <c r="B665" s="25" t="s">
        <v>2740</v>
      </c>
      <c r="C665" s="25"/>
      <c r="D665" s="25"/>
      <c r="E665" s="26" t="s">
        <v>321</v>
      </c>
      <c r="F665" s="26"/>
      <c r="G665" s="26"/>
      <c r="H665" s="26"/>
      <c r="I665" s="26"/>
      <c r="J665" s="27" t="s">
        <v>2138</v>
      </c>
      <c r="K665" s="27"/>
      <c r="L665" s="27"/>
      <c r="M665" s="27"/>
      <c r="N665" s="28">
        <f>8794.16</f>
        <v>8794.16</v>
      </c>
      <c r="O665" s="28"/>
      <c r="P665" s="28"/>
      <c r="Q665" s="27" t="s">
        <v>2032</v>
      </c>
      <c r="R665" s="27"/>
      <c r="S665" s="29" t="s">
        <v>2032</v>
      </c>
      <c r="T665" s="29"/>
      <c r="U665" s="29"/>
      <c r="V665" s="29"/>
      <c r="W665" s="30" t="s">
        <v>2032</v>
      </c>
      <c r="X665" s="29" t="s">
        <v>2032</v>
      </c>
      <c r="Y665" s="29"/>
      <c r="Z665" s="29"/>
      <c r="AA665" s="29"/>
      <c r="AB665" s="27" t="s">
        <v>2138</v>
      </c>
      <c r="AC665" s="27"/>
      <c r="AD665" s="27"/>
      <c r="AE665" s="31">
        <f>8794.16</f>
        <v>8794.16</v>
      </c>
      <c r="AF665" s="31"/>
      <c r="AG665" s="31"/>
    </row>
    <row r="666" spans="1:33" s="1" customFormat="1" ht="18.75" customHeight="1">
      <c r="A666" s="24" t="s">
        <v>322</v>
      </c>
      <c r="B666" s="25" t="s">
        <v>3788</v>
      </c>
      <c r="C666" s="25"/>
      <c r="D666" s="25"/>
      <c r="E666" s="26" t="s">
        <v>323</v>
      </c>
      <c r="F666" s="26"/>
      <c r="G666" s="26"/>
      <c r="H666" s="26"/>
      <c r="I666" s="26"/>
      <c r="J666" s="27" t="s">
        <v>2057</v>
      </c>
      <c r="K666" s="27"/>
      <c r="L666" s="27"/>
      <c r="M666" s="27"/>
      <c r="N666" s="28">
        <f>100</f>
        <v>100</v>
      </c>
      <c r="O666" s="28"/>
      <c r="P666" s="28"/>
      <c r="Q666" s="27" t="s">
        <v>2032</v>
      </c>
      <c r="R666" s="27"/>
      <c r="S666" s="29" t="s">
        <v>2032</v>
      </c>
      <c r="T666" s="29"/>
      <c r="U666" s="29"/>
      <c r="V666" s="29"/>
      <c r="W666" s="30" t="s">
        <v>2032</v>
      </c>
      <c r="X666" s="29" t="s">
        <v>2032</v>
      </c>
      <c r="Y666" s="29"/>
      <c r="Z666" s="29"/>
      <c r="AA666" s="29"/>
      <c r="AB666" s="27" t="s">
        <v>2057</v>
      </c>
      <c r="AC666" s="27"/>
      <c r="AD666" s="27"/>
      <c r="AE666" s="31">
        <f>100</f>
        <v>100</v>
      </c>
      <c r="AF666" s="31"/>
      <c r="AG666" s="31"/>
    </row>
    <row r="667" spans="1:33" s="1" customFormat="1" ht="18.75" customHeight="1">
      <c r="A667" s="24" t="s">
        <v>324</v>
      </c>
      <c r="B667" s="25" t="s">
        <v>325</v>
      </c>
      <c r="C667" s="25"/>
      <c r="D667" s="25"/>
      <c r="E667" s="26" t="s">
        <v>326</v>
      </c>
      <c r="F667" s="26"/>
      <c r="G667" s="26"/>
      <c r="H667" s="26"/>
      <c r="I667" s="26"/>
      <c r="J667" s="27" t="s">
        <v>2105</v>
      </c>
      <c r="K667" s="27"/>
      <c r="L667" s="27"/>
      <c r="M667" s="27"/>
      <c r="N667" s="28">
        <f>1140</f>
        <v>1140</v>
      </c>
      <c r="O667" s="28"/>
      <c r="P667" s="28"/>
      <c r="Q667" s="27" t="s">
        <v>2032</v>
      </c>
      <c r="R667" s="27"/>
      <c r="S667" s="29" t="s">
        <v>2032</v>
      </c>
      <c r="T667" s="29"/>
      <c r="U667" s="29"/>
      <c r="V667" s="29"/>
      <c r="W667" s="30" t="s">
        <v>2032</v>
      </c>
      <c r="X667" s="29" t="s">
        <v>2032</v>
      </c>
      <c r="Y667" s="29"/>
      <c r="Z667" s="29"/>
      <c r="AA667" s="29"/>
      <c r="AB667" s="27" t="s">
        <v>2105</v>
      </c>
      <c r="AC667" s="27"/>
      <c r="AD667" s="27"/>
      <c r="AE667" s="31">
        <f>1140</f>
        <v>1140</v>
      </c>
      <c r="AF667" s="31"/>
      <c r="AG667" s="31"/>
    </row>
    <row r="668" spans="1:33" s="1" customFormat="1" ht="18.75" customHeight="1">
      <c r="A668" s="24" t="s">
        <v>327</v>
      </c>
      <c r="B668" s="25" t="s">
        <v>328</v>
      </c>
      <c r="C668" s="25"/>
      <c r="D668" s="25"/>
      <c r="E668" s="26" t="s">
        <v>326</v>
      </c>
      <c r="F668" s="26"/>
      <c r="G668" s="26"/>
      <c r="H668" s="26"/>
      <c r="I668" s="26"/>
      <c r="J668" s="27" t="s">
        <v>2062</v>
      </c>
      <c r="K668" s="27"/>
      <c r="L668" s="27"/>
      <c r="M668" s="27"/>
      <c r="N668" s="28">
        <f>420</f>
        <v>420</v>
      </c>
      <c r="O668" s="28"/>
      <c r="P668" s="28"/>
      <c r="Q668" s="27" t="s">
        <v>2032</v>
      </c>
      <c r="R668" s="27"/>
      <c r="S668" s="29" t="s">
        <v>2032</v>
      </c>
      <c r="T668" s="29"/>
      <c r="U668" s="29"/>
      <c r="V668" s="29"/>
      <c r="W668" s="30" t="s">
        <v>2032</v>
      </c>
      <c r="X668" s="29" t="s">
        <v>2032</v>
      </c>
      <c r="Y668" s="29"/>
      <c r="Z668" s="29"/>
      <c r="AA668" s="29"/>
      <c r="AB668" s="27" t="s">
        <v>2062</v>
      </c>
      <c r="AC668" s="27"/>
      <c r="AD668" s="27"/>
      <c r="AE668" s="31">
        <f>420</f>
        <v>420</v>
      </c>
      <c r="AF668" s="31"/>
      <c r="AG668" s="31"/>
    </row>
    <row r="669" spans="1:33" s="1" customFormat="1" ht="18.75" customHeight="1">
      <c r="A669" s="24" t="s">
        <v>329</v>
      </c>
      <c r="B669" s="25" t="s">
        <v>330</v>
      </c>
      <c r="C669" s="25"/>
      <c r="D669" s="25"/>
      <c r="E669" s="26" t="s">
        <v>331</v>
      </c>
      <c r="F669" s="26"/>
      <c r="G669" s="26"/>
      <c r="H669" s="26"/>
      <c r="I669" s="26"/>
      <c r="J669" s="27" t="s">
        <v>2060</v>
      </c>
      <c r="K669" s="27"/>
      <c r="L669" s="27"/>
      <c r="M669" s="27"/>
      <c r="N669" s="28">
        <f>250</f>
        <v>250</v>
      </c>
      <c r="O669" s="28"/>
      <c r="P669" s="28"/>
      <c r="Q669" s="27" t="s">
        <v>2032</v>
      </c>
      <c r="R669" s="27"/>
      <c r="S669" s="29" t="s">
        <v>2032</v>
      </c>
      <c r="T669" s="29"/>
      <c r="U669" s="29"/>
      <c r="V669" s="29"/>
      <c r="W669" s="30" t="s">
        <v>2032</v>
      </c>
      <c r="X669" s="29" t="s">
        <v>2032</v>
      </c>
      <c r="Y669" s="29"/>
      <c r="Z669" s="29"/>
      <c r="AA669" s="29"/>
      <c r="AB669" s="27" t="s">
        <v>2060</v>
      </c>
      <c r="AC669" s="27"/>
      <c r="AD669" s="27"/>
      <c r="AE669" s="31">
        <f>250</f>
        <v>250</v>
      </c>
      <c r="AF669" s="31"/>
      <c r="AG669" s="31"/>
    </row>
    <row r="670" spans="1:33" s="1" customFormat="1" ht="33" customHeight="1">
      <c r="A670" s="24" t="s">
        <v>332</v>
      </c>
      <c r="B670" s="25" t="s">
        <v>333</v>
      </c>
      <c r="C670" s="25"/>
      <c r="D670" s="25"/>
      <c r="E670" s="26" t="s">
        <v>334</v>
      </c>
      <c r="F670" s="26"/>
      <c r="G670" s="26"/>
      <c r="H670" s="26"/>
      <c r="I670" s="26"/>
      <c r="J670" s="27" t="s">
        <v>2056</v>
      </c>
      <c r="K670" s="27"/>
      <c r="L670" s="27"/>
      <c r="M670" s="27"/>
      <c r="N670" s="28">
        <f>251.81</f>
        <v>251.81</v>
      </c>
      <c r="O670" s="28"/>
      <c r="P670" s="28"/>
      <c r="Q670" s="27" t="s">
        <v>2032</v>
      </c>
      <c r="R670" s="27"/>
      <c r="S670" s="29" t="s">
        <v>2032</v>
      </c>
      <c r="T670" s="29"/>
      <c r="U670" s="29"/>
      <c r="V670" s="29"/>
      <c r="W670" s="30" t="s">
        <v>2032</v>
      </c>
      <c r="X670" s="29" t="s">
        <v>2032</v>
      </c>
      <c r="Y670" s="29"/>
      <c r="Z670" s="29"/>
      <c r="AA670" s="29"/>
      <c r="AB670" s="27" t="s">
        <v>2056</v>
      </c>
      <c r="AC670" s="27"/>
      <c r="AD670" s="27"/>
      <c r="AE670" s="31">
        <f>251.81</f>
        <v>251.81</v>
      </c>
      <c r="AF670" s="31"/>
      <c r="AG670" s="31"/>
    </row>
    <row r="671" spans="1:33" s="1" customFormat="1" ht="33" customHeight="1">
      <c r="A671" s="24" t="s">
        <v>335</v>
      </c>
      <c r="B671" s="25" t="s">
        <v>336</v>
      </c>
      <c r="C671" s="25"/>
      <c r="D671" s="25"/>
      <c r="E671" s="26" t="s">
        <v>337</v>
      </c>
      <c r="F671" s="26"/>
      <c r="G671" s="26"/>
      <c r="H671" s="26"/>
      <c r="I671" s="26"/>
      <c r="J671" s="27" t="s">
        <v>2056</v>
      </c>
      <c r="K671" s="27"/>
      <c r="L671" s="27"/>
      <c r="M671" s="27"/>
      <c r="N671" s="28">
        <f>336.3</f>
        <v>336.3</v>
      </c>
      <c r="O671" s="28"/>
      <c r="P671" s="28"/>
      <c r="Q671" s="27" t="s">
        <v>2032</v>
      </c>
      <c r="R671" s="27"/>
      <c r="S671" s="29" t="s">
        <v>2032</v>
      </c>
      <c r="T671" s="29"/>
      <c r="U671" s="29"/>
      <c r="V671" s="29"/>
      <c r="W671" s="30" t="s">
        <v>2032</v>
      </c>
      <c r="X671" s="29" t="s">
        <v>2032</v>
      </c>
      <c r="Y671" s="29"/>
      <c r="Z671" s="29"/>
      <c r="AA671" s="29"/>
      <c r="AB671" s="27" t="s">
        <v>2056</v>
      </c>
      <c r="AC671" s="27"/>
      <c r="AD671" s="27"/>
      <c r="AE671" s="31">
        <f>336.3</f>
        <v>336.3</v>
      </c>
      <c r="AF671" s="31"/>
      <c r="AG671" s="31"/>
    </row>
    <row r="672" spans="1:33" s="1" customFormat="1" ht="18.75" customHeight="1">
      <c r="A672" s="24" t="s">
        <v>338</v>
      </c>
      <c r="B672" s="25" t="s">
        <v>339</v>
      </c>
      <c r="C672" s="25"/>
      <c r="D672" s="25"/>
      <c r="E672" s="26" t="s">
        <v>340</v>
      </c>
      <c r="F672" s="26"/>
      <c r="G672" s="26"/>
      <c r="H672" s="26"/>
      <c r="I672" s="26"/>
      <c r="J672" s="27" t="s">
        <v>2056</v>
      </c>
      <c r="K672" s="27"/>
      <c r="L672" s="27"/>
      <c r="M672" s="27"/>
      <c r="N672" s="28">
        <f>2233</f>
        <v>2233</v>
      </c>
      <c r="O672" s="28"/>
      <c r="P672" s="28"/>
      <c r="Q672" s="27" t="s">
        <v>2032</v>
      </c>
      <c r="R672" s="27"/>
      <c r="S672" s="29" t="s">
        <v>2032</v>
      </c>
      <c r="T672" s="29"/>
      <c r="U672" s="29"/>
      <c r="V672" s="29"/>
      <c r="W672" s="30" t="s">
        <v>2032</v>
      </c>
      <c r="X672" s="29" t="s">
        <v>2032</v>
      </c>
      <c r="Y672" s="29"/>
      <c r="Z672" s="29"/>
      <c r="AA672" s="29"/>
      <c r="AB672" s="27" t="s">
        <v>2056</v>
      </c>
      <c r="AC672" s="27"/>
      <c r="AD672" s="27"/>
      <c r="AE672" s="31">
        <f>2233</f>
        <v>2233</v>
      </c>
      <c r="AF672" s="31"/>
      <c r="AG672" s="31"/>
    </row>
    <row r="673" spans="1:33" s="1" customFormat="1" ht="18.75" customHeight="1">
      <c r="A673" s="24" t="s">
        <v>341</v>
      </c>
      <c r="B673" s="25" t="s">
        <v>342</v>
      </c>
      <c r="C673" s="25"/>
      <c r="D673" s="25"/>
      <c r="E673" s="26" t="s">
        <v>343</v>
      </c>
      <c r="F673" s="26"/>
      <c r="G673" s="26"/>
      <c r="H673" s="26"/>
      <c r="I673" s="26"/>
      <c r="J673" s="27" t="s">
        <v>2056</v>
      </c>
      <c r="K673" s="27"/>
      <c r="L673" s="27"/>
      <c r="M673" s="27"/>
      <c r="N673" s="28">
        <f>1250</f>
        <v>1250</v>
      </c>
      <c r="O673" s="28"/>
      <c r="P673" s="28"/>
      <c r="Q673" s="27" t="s">
        <v>2032</v>
      </c>
      <c r="R673" s="27"/>
      <c r="S673" s="29" t="s">
        <v>2032</v>
      </c>
      <c r="T673" s="29"/>
      <c r="U673" s="29"/>
      <c r="V673" s="29"/>
      <c r="W673" s="30" t="s">
        <v>2032</v>
      </c>
      <c r="X673" s="29" t="s">
        <v>2032</v>
      </c>
      <c r="Y673" s="29"/>
      <c r="Z673" s="29"/>
      <c r="AA673" s="29"/>
      <c r="AB673" s="27" t="s">
        <v>2056</v>
      </c>
      <c r="AC673" s="27"/>
      <c r="AD673" s="27"/>
      <c r="AE673" s="31">
        <f>1250</f>
        <v>1250</v>
      </c>
      <c r="AF673" s="31"/>
      <c r="AG673" s="31"/>
    </row>
    <row r="674" spans="1:33" s="1" customFormat="1" ht="18.75" customHeight="1">
      <c r="A674" s="24" t="s">
        <v>344</v>
      </c>
      <c r="B674" s="25" t="s">
        <v>345</v>
      </c>
      <c r="C674" s="25"/>
      <c r="D674" s="25"/>
      <c r="E674" s="26" t="s">
        <v>346</v>
      </c>
      <c r="F674" s="26"/>
      <c r="G674" s="26"/>
      <c r="H674" s="26"/>
      <c r="I674" s="26"/>
      <c r="J674" s="27" t="s">
        <v>2056</v>
      </c>
      <c r="K674" s="27"/>
      <c r="L674" s="27"/>
      <c r="M674" s="27"/>
      <c r="N674" s="28">
        <f>2304</f>
        <v>2304</v>
      </c>
      <c r="O674" s="28"/>
      <c r="P674" s="28"/>
      <c r="Q674" s="27" t="s">
        <v>2032</v>
      </c>
      <c r="R674" s="27"/>
      <c r="S674" s="29" t="s">
        <v>2032</v>
      </c>
      <c r="T674" s="29"/>
      <c r="U674" s="29"/>
      <c r="V674" s="29"/>
      <c r="W674" s="30" t="s">
        <v>2032</v>
      </c>
      <c r="X674" s="29" t="s">
        <v>2032</v>
      </c>
      <c r="Y674" s="29"/>
      <c r="Z674" s="29"/>
      <c r="AA674" s="29"/>
      <c r="AB674" s="27" t="s">
        <v>2056</v>
      </c>
      <c r="AC674" s="27"/>
      <c r="AD674" s="27"/>
      <c r="AE674" s="31">
        <f>2304</f>
        <v>2304</v>
      </c>
      <c r="AF674" s="31"/>
      <c r="AG674" s="31"/>
    </row>
    <row r="675" spans="1:33" s="1" customFormat="1" ht="18.75" customHeight="1">
      <c r="A675" s="24" t="s">
        <v>347</v>
      </c>
      <c r="B675" s="25" t="s">
        <v>3590</v>
      </c>
      <c r="C675" s="25"/>
      <c r="D675" s="25"/>
      <c r="E675" s="26" t="s">
        <v>348</v>
      </c>
      <c r="F675" s="26"/>
      <c r="G675" s="26"/>
      <c r="H675" s="26"/>
      <c r="I675" s="26"/>
      <c r="J675" s="27" t="s">
        <v>2056</v>
      </c>
      <c r="K675" s="27"/>
      <c r="L675" s="27"/>
      <c r="M675" s="27"/>
      <c r="N675" s="28">
        <f>2074</f>
        <v>2074</v>
      </c>
      <c r="O675" s="28"/>
      <c r="P675" s="28"/>
      <c r="Q675" s="27" t="s">
        <v>2032</v>
      </c>
      <c r="R675" s="27"/>
      <c r="S675" s="29" t="s">
        <v>2032</v>
      </c>
      <c r="T675" s="29"/>
      <c r="U675" s="29"/>
      <c r="V675" s="29"/>
      <c r="W675" s="30" t="s">
        <v>2032</v>
      </c>
      <c r="X675" s="29" t="s">
        <v>2032</v>
      </c>
      <c r="Y675" s="29"/>
      <c r="Z675" s="29"/>
      <c r="AA675" s="29"/>
      <c r="AB675" s="27" t="s">
        <v>2056</v>
      </c>
      <c r="AC675" s="27"/>
      <c r="AD675" s="27"/>
      <c r="AE675" s="31">
        <f>2074</f>
        <v>2074</v>
      </c>
      <c r="AF675" s="31"/>
      <c r="AG675" s="31"/>
    </row>
    <row r="676" spans="1:33" s="1" customFormat="1" ht="46.5" customHeight="1">
      <c r="A676" s="24" t="s">
        <v>349</v>
      </c>
      <c r="B676" s="25" t="s">
        <v>350</v>
      </c>
      <c r="C676" s="25"/>
      <c r="D676" s="25"/>
      <c r="E676" s="26" t="s">
        <v>351</v>
      </c>
      <c r="F676" s="26"/>
      <c r="G676" s="26"/>
      <c r="H676" s="26"/>
      <c r="I676" s="26"/>
      <c r="J676" s="27" t="s">
        <v>2056</v>
      </c>
      <c r="K676" s="27"/>
      <c r="L676" s="27"/>
      <c r="M676" s="27"/>
      <c r="N676" s="28">
        <f>4000</f>
        <v>4000</v>
      </c>
      <c r="O676" s="28"/>
      <c r="P676" s="28"/>
      <c r="Q676" s="27" t="s">
        <v>2032</v>
      </c>
      <c r="R676" s="27"/>
      <c r="S676" s="29" t="s">
        <v>2032</v>
      </c>
      <c r="T676" s="29"/>
      <c r="U676" s="29"/>
      <c r="V676" s="29"/>
      <c r="W676" s="30" t="s">
        <v>2032</v>
      </c>
      <c r="X676" s="29" t="s">
        <v>2032</v>
      </c>
      <c r="Y676" s="29"/>
      <c r="Z676" s="29"/>
      <c r="AA676" s="29"/>
      <c r="AB676" s="27" t="s">
        <v>2056</v>
      </c>
      <c r="AC676" s="27"/>
      <c r="AD676" s="27"/>
      <c r="AE676" s="31">
        <f>4000</f>
        <v>4000</v>
      </c>
      <c r="AF676" s="31"/>
      <c r="AG676" s="31"/>
    </row>
    <row r="677" spans="1:33" s="1" customFormat="1" ht="18.75" customHeight="1">
      <c r="A677" s="24" t="s">
        <v>352</v>
      </c>
      <c r="B677" s="25" t="s">
        <v>353</v>
      </c>
      <c r="C677" s="25"/>
      <c r="D677" s="25"/>
      <c r="E677" s="26" t="s">
        <v>354</v>
      </c>
      <c r="F677" s="26"/>
      <c r="G677" s="26"/>
      <c r="H677" s="26"/>
      <c r="I677" s="26"/>
      <c r="J677" s="27" t="s">
        <v>2056</v>
      </c>
      <c r="K677" s="27"/>
      <c r="L677" s="27"/>
      <c r="M677" s="27"/>
      <c r="N677" s="28">
        <f>3061</f>
        <v>3061</v>
      </c>
      <c r="O677" s="28"/>
      <c r="P677" s="28"/>
      <c r="Q677" s="27" t="s">
        <v>2032</v>
      </c>
      <c r="R677" s="27"/>
      <c r="S677" s="29" t="s">
        <v>2032</v>
      </c>
      <c r="T677" s="29"/>
      <c r="U677" s="29"/>
      <c r="V677" s="29"/>
      <c r="W677" s="30" t="s">
        <v>2032</v>
      </c>
      <c r="X677" s="29" t="s">
        <v>2032</v>
      </c>
      <c r="Y677" s="29"/>
      <c r="Z677" s="29"/>
      <c r="AA677" s="29"/>
      <c r="AB677" s="27" t="s">
        <v>2056</v>
      </c>
      <c r="AC677" s="27"/>
      <c r="AD677" s="27"/>
      <c r="AE677" s="31">
        <f>3061</f>
        <v>3061</v>
      </c>
      <c r="AF677" s="31"/>
      <c r="AG677" s="31"/>
    </row>
    <row r="678" spans="1:33" s="1" customFormat="1" ht="18.75" customHeight="1">
      <c r="A678" s="24" t="s">
        <v>355</v>
      </c>
      <c r="B678" s="25" t="s">
        <v>356</v>
      </c>
      <c r="C678" s="25"/>
      <c r="D678" s="25"/>
      <c r="E678" s="26" t="s">
        <v>357</v>
      </c>
      <c r="F678" s="26"/>
      <c r="G678" s="26"/>
      <c r="H678" s="26"/>
      <c r="I678" s="26"/>
      <c r="J678" s="27" t="s">
        <v>2056</v>
      </c>
      <c r="K678" s="27"/>
      <c r="L678" s="27"/>
      <c r="M678" s="27"/>
      <c r="N678" s="28">
        <f>4006</f>
        <v>4006</v>
      </c>
      <c r="O678" s="28"/>
      <c r="P678" s="28"/>
      <c r="Q678" s="27" t="s">
        <v>2032</v>
      </c>
      <c r="R678" s="27"/>
      <c r="S678" s="29" t="s">
        <v>2032</v>
      </c>
      <c r="T678" s="29"/>
      <c r="U678" s="29"/>
      <c r="V678" s="29"/>
      <c r="W678" s="30" t="s">
        <v>2032</v>
      </c>
      <c r="X678" s="29" t="s">
        <v>2032</v>
      </c>
      <c r="Y678" s="29"/>
      <c r="Z678" s="29"/>
      <c r="AA678" s="29"/>
      <c r="AB678" s="27" t="s">
        <v>2056</v>
      </c>
      <c r="AC678" s="27"/>
      <c r="AD678" s="27"/>
      <c r="AE678" s="31">
        <f>4006</f>
        <v>4006</v>
      </c>
      <c r="AF678" s="31"/>
      <c r="AG678" s="31"/>
    </row>
    <row r="679" spans="1:33" s="1" customFormat="1" ht="18.75" customHeight="1">
      <c r="A679" s="24" t="s">
        <v>358</v>
      </c>
      <c r="B679" s="25" t="s">
        <v>359</v>
      </c>
      <c r="C679" s="25"/>
      <c r="D679" s="25"/>
      <c r="E679" s="26" t="s">
        <v>360</v>
      </c>
      <c r="F679" s="26"/>
      <c r="G679" s="26"/>
      <c r="H679" s="26"/>
      <c r="I679" s="26"/>
      <c r="J679" s="27" t="s">
        <v>2056</v>
      </c>
      <c r="K679" s="27"/>
      <c r="L679" s="27"/>
      <c r="M679" s="27"/>
      <c r="N679" s="28">
        <f>2885</f>
        <v>2885</v>
      </c>
      <c r="O679" s="28"/>
      <c r="P679" s="28"/>
      <c r="Q679" s="27" t="s">
        <v>2032</v>
      </c>
      <c r="R679" s="27"/>
      <c r="S679" s="29" t="s">
        <v>2032</v>
      </c>
      <c r="T679" s="29"/>
      <c r="U679" s="29"/>
      <c r="V679" s="29"/>
      <c r="W679" s="30" t="s">
        <v>2032</v>
      </c>
      <c r="X679" s="29" t="s">
        <v>2032</v>
      </c>
      <c r="Y679" s="29"/>
      <c r="Z679" s="29"/>
      <c r="AA679" s="29"/>
      <c r="AB679" s="27" t="s">
        <v>2056</v>
      </c>
      <c r="AC679" s="27"/>
      <c r="AD679" s="27"/>
      <c r="AE679" s="31">
        <f>2885</f>
        <v>2885</v>
      </c>
      <c r="AF679" s="31"/>
      <c r="AG679" s="31"/>
    </row>
    <row r="680" spans="1:33" s="1" customFormat="1" ht="18.75" customHeight="1">
      <c r="A680" s="24" t="s">
        <v>361</v>
      </c>
      <c r="B680" s="25" t="s">
        <v>362</v>
      </c>
      <c r="C680" s="25"/>
      <c r="D680" s="25"/>
      <c r="E680" s="26" t="s">
        <v>363</v>
      </c>
      <c r="F680" s="26"/>
      <c r="G680" s="26"/>
      <c r="H680" s="26"/>
      <c r="I680" s="26"/>
      <c r="J680" s="27" t="s">
        <v>2056</v>
      </c>
      <c r="K680" s="27"/>
      <c r="L680" s="27"/>
      <c r="M680" s="27"/>
      <c r="N680" s="28">
        <f>2607</f>
        <v>2607</v>
      </c>
      <c r="O680" s="28"/>
      <c r="P680" s="28"/>
      <c r="Q680" s="27" t="s">
        <v>2032</v>
      </c>
      <c r="R680" s="27"/>
      <c r="S680" s="29" t="s">
        <v>2032</v>
      </c>
      <c r="T680" s="29"/>
      <c r="U680" s="29"/>
      <c r="V680" s="29"/>
      <c r="W680" s="30" t="s">
        <v>2032</v>
      </c>
      <c r="X680" s="29" t="s">
        <v>2032</v>
      </c>
      <c r="Y680" s="29"/>
      <c r="Z680" s="29"/>
      <c r="AA680" s="29"/>
      <c r="AB680" s="27" t="s">
        <v>2056</v>
      </c>
      <c r="AC680" s="27"/>
      <c r="AD680" s="27"/>
      <c r="AE680" s="31">
        <f>2607</f>
        <v>2607</v>
      </c>
      <c r="AF680" s="31"/>
      <c r="AG680" s="31"/>
    </row>
    <row r="681" spans="1:33" s="1" customFormat="1" ht="18.75" customHeight="1">
      <c r="A681" s="24" t="s">
        <v>364</v>
      </c>
      <c r="B681" s="25" t="s">
        <v>365</v>
      </c>
      <c r="C681" s="25"/>
      <c r="D681" s="25"/>
      <c r="E681" s="26" t="s">
        <v>366</v>
      </c>
      <c r="F681" s="26"/>
      <c r="G681" s="26"/>
      <c r="H681" s="26"/>
      <c r="I681" s="26"/>
      <c r="J681" s="27" t="s">
        <v>2056</v>
      </c>
      <c r="K681" s="27"/>
      <c r="L681" s="27"/>
      <c r="M681" s="27"/>
      <c r="N681" s="28">
        <f>3950</f>
        <v>3950</v>
      </c>
      <c r="O681" s="28"/>
      <c r="P681" s="28"/>
      <c r="Q681" s="27" t="s">
        <v>2032</v>
      </c>
      <c r="R681" s="27"/>
      <c r="S681" s="29" t="s">
        <v>2032</v>
      </c>
      <c r="T681" s="29"/>
      <c r="U681" s="29"/>
      <c r="V681" s="29"/>
      <c r="W681" s="30" t="s">
        <v>2032</v>
      </c>
      <c r="X681" s="29" t="s">
        <v>2032</v>
      </c>
      <c r="Y681" s="29"/>
      <c r="Z681" s="29"/>
      <c r="AA681" s="29"/>
      <c r="AB681" s="27" t="s">
        <v>2056</v>
      </c>
      <c r="AC681" s="27"/>
      <c r="AD681" s="27"/>
      <c r="AE681" s="31">
        <f>3950</f>
        <v>3950</v>
      </c>
      <c r="AF681" s="31"/>
      <c r="AG681" s="31"/>
    </row>
    <row r="682" spans="1:33" s="1" customFormat="1" ht="18.75" customHeight="1">
      <c r="A682" s="24" t="s">
        <v>367</v>
      </c>
      <c r="B682" s="25" t="s">
        <v>368</v>
      </c>
      <c r="C682" s="25"/>
      <c r="D682" s="25"/>
      <c r="E682" s="26" t="s">
        <v>369</v>
      </c>
      <c r="F682" s="26"/>
      <c r="G682" s="26"/>
      <c r="H682" s="26"/>
      <c r="I682" s="26"/>
      <c r="J682" s="27" t="s">
        <v>2056</v>
      </c>
      <c r="K682" s="27"/>
      <c r="L682" s="27"/>
      <c r="M682" s="27"/>
      <c r="N682" s="28">
        <f>3573</f>
        <v>3573</v>
      </c>
      <c r="O682" s="28"/>
      <c r="P682" s="28"/>
      <c r="Q682" s="27" t="s">
        <v>2032</v>
      </c>
      <c r="R682" s="27"/>
      <c r="S682" s="29" t="s">
        <v>2032</v>
      </c>
      <c r="T682" s="29"/>
      <c r="U682" s="29"/>
      <c r="V682" s="29"/>
      <c r="W682" s="30" t="s">
        <v>2032</v>
      </c>
      <c r="X682" s="29" t="s">
        <v>2032</v>
      </c>
      <c r="Y682" s="29"/>
      <c r="Z682" s="29"/>
      <c r="AA682" s="29"/>
      <c r="AB682" s="27" t="s">
        <v>2056</v>
      </c>
      <c r="AC682" s="27"/>
      <c r="AD682" s="27"/>
      <c r="AE682" s="31">
        <f>3573</f>
        <v>3573</v>
      </c>
      <c r="AF682" s="31"/>
      <c r="AG682" s="31"/>
    </row>
    <row r="683" spans="1:33" s="1" customFormat="1" ht="18.75" customHeight="1">
      <c r="A683" s="24" t="s">
        <v>370</v>
      </c>
      <c r="B683" s="25" t="s">
        <v>371</v>
      </c>
      <c r="C683" s="25"/>
      <c r="D683" s="25"/>
      <c r="E683" s="26" t="s">
        <v>372</v>
      </c>
      <c r="F683" s="26"/>
      <c r="G683" s="26"/>
      <c r="H683" s="26"/>
      <c r="I683" s="26"/>
      <c r="J683" s="27" t="s">
        <v>2056</v>
      </c>
      <c r="K683" s="27"/>
      <c r="L683" s="27"/>
      <c r="M683" s="27"/>
      <c r="N683" s="28">
        <f>1100</f>
        <v>1100</v>
      </c>
      <c r="O683" s="28"/>
      <c r="P683" s="28"/>
      <c r="Q683" s="27" t="s">
        <v>2032</v>
      </c>
      <c r="R683" s="27"/>
      <c r="S683" s="29" t="s">
        <v>2032</v>
      </c>
      <c r="T683" s="29"/>
      <c r="U683" s="29"/>
      <c r="V683" s="29"/>
      <c r="W683" s="30" t="s">
        <v>2032</v>
      </c>
      <c r="X683" s="29" t="s">
        <v>2032</v>
      </c>
      <c r="Y683" s="29"/>
      <c r="Z683" s="29"/>
      <c r="AA683" s="29"/>
      <c r="AB683" s="27" t="s">
        <v>2056</v>
      </c>
      <c r="AC683" s="27"/>
      <c r="AD683" s="27"/>
      <c r="AE683" s="31">
        <f>1100</f>
        <v>1100</v>
      </c>
      <c r="AF683" s="31"/>
      <c r="AG683" s="31"/>
    </row>
    <row r="684" spans="1:33" s="1" customFormat="1" ht="18.75" customHeight="1">
      <c r="A684" s="24" t="s">
        <v>373</v>
      </c>
      <c r="B684" s="25" t="s">
        <v>374</v>
      </c>
      <c r="C684" s="25"/>
      <c r="D684" s="25"/>
      <c r="E684" s="26" t="s">
        <v>375</v>
      </c>
      <c r="F684" s="26"/>
      <c r="G684" s="26"/>
      <c r="H684" s="26"/>
      <c r="I684" s="26"/>
      <c r="J684" s="27" t="s">
        <v>2056</v>
      </c>
      <c r="K684" s="27"/>
      <c r="L684" s="27"/>
      <c r="M684" s="27"/>
      <c r="N684" s="28">
        <f>3188</f>
        <v>3188</v>
      </c>
      <c r="O684" s="28"/>
      <c r="P684" s="28"/>
      <c r="Q684" s="27" t="s">
        <v>2032</v>
      </c>
      <c r="R684" s="27"/>
      <c r="S684" s="29" t="s">
        <v>2032</v>
      </c>
      <c r="T684" s="29"/>
      <c r="U684" s="29"/>
      <c r="V684" s="29"/>
      <c r="W684" s="30" t="s">
        <v>2032</v>
      </c>
      <c r="X684" s="29" t="s">
        <v>2032</v>
      </c>
      <c r="Y684" s="29"/>
      <c r="Z684" s="29"/>
      <c r="AA684" s="29"/>
      <c r="AB684" s="27" t="s">
        <v>2056</v>
      </c>
      <c r="AC684" s="27"/>
      <c r="AD684" s="27"/>
      <c r="AE684" s="31">
        <f>3188</f>
        <v>3188</v>
      </c>
      <c r="AF684" s="31"/>
      <c r="AG684" s="31"/>
    </row>
    <row r="685" spans="1:33" s="1" customFormat="1" ht="18.75" customHeight="1">
      <c r="A685" s="24" t="s">
        <v>376</v>
      </c>
      <c r="B685" s="25" t="s">
        <v>377</v>
      </c>
      <c r="C685" s="25"/>
      <c r="D685" s="25"/>
      <c r="E685" s="26" t="s">
        <v>378</v>
      </c>
      <c r="F685" s="26"/>
      <c r="G685" s="26"/>
      <c r="H685" s="26"/>
      <c r="I685" s="26"/>
      <c r="J685" s="27" t="s">
        <v>2056</v>
      </c>
      <c r="K685" s="27"/>
      <c r="L685" s="27"/>
      <c r="M685" s="27"/>
      <c r="N685" s="28">
        <f>73.06</f>
        <v>73.06</v>
      </c>
      <c r="O685" s="28"/>
      <c r="P685" s="28"/>
      <c r="Q685" s="27" t="s">
        <v>2032</v>
      </c>
      <c r="R685" s="27"/>
      <c r="S685" s="29" t="s">
        <v>2032</v>
      </c>
      <c r="T685" s="29"/>
      <c r="U685" s="29"/>
      <c r="V685" s="29"/>
      <c r="W685" s="30" t="s">
        <v>2032</v>
      </c>
      <c r="X685" s="29" t="s">
        <v>2032</v>
      </c>
      <c r="Y685" s="29"/>
      <c r="Z685" s="29"/>
      <c r="AA685" s="29"/>
      <c r="AB685" s="27" t="s">
        <v>2056</v>
      </c>
      <c r="AC685" s="27"/>
      <c r="AD685" s="27"/>
      <c r="AE685" s="31">
        <f>73.06</f>
        <v>73.06</v>
      </c>
      <c r="AF685" s="31"/>
      <c r="AG685" s="31"/>
    </row>
    <row r="686" spans="1:33" s="1" customFormat="1" ht="18.75" customHeight="1">
      <c r="A686" s="24" t="s">
        <v>379</v>
      </c>
      <c r="B686" s="25" t="s">
        <v>380</v>
      </c>
      <c r="C686" s="25"/>
      <c r="D686" s="25"/>
      <c r="E686" s="26" t="s">
        <v>381</v>
      </c>
      <c r="F686" s="26"/>
      <c r="G686" s="26"/>
      <c r="H686" s="26"/>
      <c r="I686" s="26"/>
      <c r="J686" s="27" t="s">
        <v>2056</v>
      </c>
      <c r="K686" s="27"/>
      <c r="L686" s="27"/>
      <c r="M686" s="27"/>
      <c r="N686" s="28">
        <f>146.12</f>
        <v>146.12</v>
      </c>
      <c r="O686" s="28"/>
      <c r="P686" s="28"/>
      <c r="Q686" s="27" t="s">
        <v>2032</v>
      </c>
      <c r="R686" s="27"/>
      <c r="S686" s="29" t="s">
        <v>2032</v>
      </c>
      <c r="T686" s="29"/>
      <c r="U686" s="29"/>
      <c r="V686" s="29"/>
      <c r="W686" s="30" t="s">
        <v>2032</v>
      </c>
      <c r="X686" s="29" t="s">
        <v>2032</v>
      </c>
      <c r="Y686" s="29"/>
      <c r="Z686" s="29"/>
      <c r="AA686" s="29"/>
      <c r="AB686" s="27" t="s">
        <v>2056</v>
      </c>
      <c r="AC686" s="27"/>
      <c r="AD686" s="27"/>
      <c r="AE686" s="31">
        <f>146.12</f>
        <v>146.12</v>
      </c>
      <c r="AF686" s="31"/>
      <c r="AG686" s="31"/>
    </row>
    <row r="687" spans="1:33" s="1" customFormat="1" ht="46.5" customHeight="1">
      <c r="A687" s="24" t="s">
        <v>382</v>
      </c>
      <c r="B687" s="25" t="s">
        <v>383</v>
      </c>
      <c r="C687" s="25"/>
      <c r="D687" s="25"/>
      <c r="E687" s="26" t="s">
        <v>384</v>
      </c>
      <c r="F687" s="26"/>
      <c r="G687" s="26"/>
      <c r="H687" s="26"/>
      <c r="I687" s="26"/>
      <c r="J687" s="27" t="s">
        <v>2057</v>
      </c>
      <c r="K687" s="27"/>
      <c r="L687" s="27"/>
      <c r="M687" s="27"/>
      <c r="N687" s="28">
        <f>21456</f>
        <v>21456</v>
      </c>
      <c r="O687" s="28"/>
      <c r="P687" s="28"/>
      <c r="Q687" s="27" t="s">
        <v>2032</v>
      </c>
      <c r="R687" s="27"/>
      <c r="S687" s="29" t="s">
        <v>2032</v>
      </c>
      <c r="T687" s="29"/>
      <c r="U687" s="29"/>
      <c r="V687" s="29"/>
      <c r="W687" s="30" t="s">
        <v>2032</v>
      </c>
      <c r="X687" s="29" t="s">
        <v>2032</v>
      </c>
      <c r="Y687" s="29"/>
      <c r="Z687" s="29"/>
      <c r="AA687" s="29"/>
      <c r="AB687" s="27" t="s">
        <v>2057</v>
      </c>
      <c r="AC687" s="27"/>
      <c r="AD687" s="27"/>
      <c r="AE687" s="31">
        <f>21456</f>
        <v>21456</v>
      </c>
      <c r="AF687" s="31"/>
      <c r="AG687" s="31"/>
    </row>
    <row r="688" spans="1:33" s="1" customFormat="1" ht="33" customHeight="1">
      <c r="A688" s="24" t="s">
        <v>385</v>
      </c>
      <c r="B688" s="25" t="s">
        <v>386</v>
      </c>
      <c r="C688" s="25"/>
      <c r="D688" s="25"/>
      <c r="E688" s="26" t="s">
        <v>387</v>
      </c>
      <c r="F688" s="26"/>
      <c r="G688" s="26"/>
      <c r="H688" s="26"/>
      <c r="I688" s="26"/>
      <c r="J688" s="27" t="s">
        <v>2057</v>
      </c>
      <c r="K688" s="27"/>
      <c r="L688" s="27"/>
      <c r="M688" s="27"/>
      <c r="N688" s="28">
        <f>146.12</f>
        <v>146.12</v>
      </c>
      <c r="O688" s="28"/>
      <c r="P688" s="28"/>
      <c r="Q688" s="27" t="s">
        <v>2032</v>
      </c>
      <c r="R688" s="27"/>
      <c r="S688" s="29" t="s">
        <v>2032</v>
      </c>
      <c r="T688" s="29"/>
      <c r="U688" s="29"/>
      <c r="V688" s="29"/>
      <c r="W688" s="30" t="s">
        <v>2032</v>
      </c>
      <c r="X688" s="29" t="s">
        <v>2032</v>
      </c>
      <c r="Y688" s="29"/>
      <c r="Z688" s="29"/>
      <c r="AA688" s="29"/>
      <c r="AB688" s="27" t="s">
        <v>2057</v>
      </c>
      <c r="AC688" s="27"/>
      <c r="AD688" s="27"/>
      <c r="AE688" s="31">
        <f>146.12</f>
        <v>146.12</v>
      </c>
      <c r="AF688" s="31"/>
      <c r="AG688" s="31"/>
    </row>
    <row r="689" spans="1:33" s="1" customFormat="1" ht="18.75" customHeight="1">
      <c r="A689" s="24" t="s">
        <v>388</v>
      </c>
      <c r="B689" s="25" t="s">
        <v>389</v>
      </c>
      <c r="C689" s="25"/>
      <c r="D689" s="25"/>
      <c r="E689" s="26" t="s">
        <v>390</v>
      </c>
      <c r="F689" s="26"/>
      <c r="G689" s="26"/>
      <c r="H689" s="26"/>
      <c r="I689" s="26"/>
      <c r="J689" s="27" t="s">
        <v>2056</v>
      </c>
      <c r="K689" s="27"/>
      <c r="L689" s="27"/>
      <c r="M689" s="27"/>
      <c r="N689" s="28">
        <f>1691.67</f>
        <v>1691.67</v>
      </c>
      <c r="O689" s="28"/>
      <c r="P689" s="28"/>
      <c r="Q689" s="27" t="s">
        <v>2032</v>
      </c>
      <c r="R689" s="27"/>
      <c r="S689" s="29" t="s">
        <v>2032</v>
      </c>
      <c r="T689" s="29"/>
      <c r="U689" s="29"/>
      <c r="V689" s="29"/>
      <c r="W689" s="30" t="s">
        <v>2032</v>
      </c>
      <c r="X689" s="29" t="s">
        <v>2032</v>
      </c>
      <c r="Y689" s="29"/>
      <c r="Z689" s="29"/>
      <c r="AA689" s="29"/>
      <c r="AB689" s="27" t="s">
        <v>2056</v>
      </c>
      <c r="AC689" s="27"/>
      <c r="AD689" s="27"/>
      <c r="AE689" s="31">
        <f>1691.67</f>
        <v>1691.67</v>
      </c>
      <c r="AF689" s="31"/>
      <c r="AG689" s="31"/>
    </row>
    <row r="690" spans="1:33" s="1" customFormat="1" ht="18.75" customHeight="1">
      <c r="A690" s="24" t="s">
        <v>391</v>
      </c>
      <c r="B690" s="25" t="s">
        <v>392</v>
      </c>
      <c r="C690" s="25"/>
      <c r="D690" s="25"/>
      <c r="E690" s="26" t="s">
        <v>393</v>
      </c>
      <c r="F690" s="26"/>
      <c r="G690" s="26"/>
      <c r="H690" s="26"/>
      <c r="I690" s="26"/>
      <c r="J690" s="27" t="s">
        <v>2056</v>
      </c>
      <c r="K690" s="27"/>
      <c r="L690" s="27"/>
      <c r="M690" s="27"/>
      <c r="N690" s="28">
        <f>2288.54</f>
        <v>2288.54</v>
      </c>
      <c r="O690" s="28"/>
      <c r="P690" s="28"/>
      <c r="Q690" s="27" t="s">
        <v>2032</v>
      </c>
      <c r="R690" s="27"/>
      <c r="S690" s="29" t="s">
        <v>2032</v>
      </c>
      <c r="T690" s="29"/>
      <c r="U690" s="29"/>
      <c r="V690" s="29"/>
      <c r="W690" s="30" t="s">
        <v>2032</v>
      </c>
      <c r="X690" s="29" t="s">
        <v>2032</v>
      </c>
      <c r="Y690" s="29"/>
      <c r="Z690" s="29"/>
      <c r="AA690" s="29"/>
      <c r="AB690" s="27" t="s">
        <v>2056</v>
      </c>
      <c r="AC690" s="27"/>
      <c r="AD690" s="27"/>
      <c r="AE690" s="31">
        <f>2288.54</f>
        <v>2288.54</v>
      </c>
      <c r="AF690" s="31"/>
      <c r="AG690" s="31"/>
    </row>
    <row r="691" spans="1:33" s="1" customFormat="1" ht="18.75" customHeight="1">
      <c r="A691" s="24" t="s">
        <v>394</v>
      </c>
      <c r="B691" s="25" t="s">
        <v>2546</v>
      </c>
      <c r="C691" s="25"/>
      <c r="D691" s="25"/>
      <c r="E691" s="26" t="s">
        <v>395</v>
      </c>
      <c r="F691" s="26"/>
      <c r="G691" s="26"/>
      <c r="H691" s="26"/>
      <c r="I691" s="26"/>
      <c r="J691" s="27" t="s">
        <v>2056</v>
      </c>
      <c r="K691" s="27"/>
      <c r="L691" s="27"/>
      <c r="M691" s="27"/>
      <c r="N691" s="28">
        <f>165</f>
        <v>165</v>
      </c>
      <c r="O691" s="28"/>
      <c r="P691" s="28"/>
      <c r="Q691" s="27" t="s">
        <v>2032</v>
      </c>
      <c r="R691" s="27"/>
      <c r="S691" s="29" t="s">
        <v>2032</v>
      </c>
      <c r="T691" s="29"/>
      <c r="U691" s="29"/>
      <c r="V691" s="29"/>
      <c r="W691" s="30" t="s">
        <v>2032</v>
      </c>
      <c r="X691" s="29" t="s">
        <v>2032</v>
      </c>
      <c r="Y691" s="29"/>
      <c r="Z691" s="29"/>
      <c r="AA691" s="29"/>
      <c r="AB691" s="27" t="s">
        <v>2056</v>
      </c>
      <c r="AC691" s="27"/>
      <c r="AD691" s="27"/>
      <c r="AE691" s="31">
        <f>165</f>
        <v>165</v>
      </c>
      <c r="AF691" s="31"/>
      <c r="AG691" s="31"/>
    </row>
    <row r="692" spans="1:33" s="1" customFormat="1" ht="18.75" customHeight="1">
      <c r="A692" s="24" t="s">
        <v>396</v>
      </c>
      <c r="B692" s="25" t="s">
        <v>397</v>
      </c>
      <c r="C692" s="25"/>
      <c r="D692" s="25"/>
      <c r="E692" s="26" t="s">
        <v>398</v>
      </c>
      <c r="F692" s="26"/>
      <c r="G692" s="26"/>
      <c r="H692" s="26"/>
      <c r="I692" s="26"/>
      <c r="J692" s="27" t="s">
        <v>2056</v>
      </c>
      <c r="K692" s="27"/>
      <c r="L692" s="27"/>
      <c r="M692" s="27"/>
      <c r="N692" s="28">
        <f>73.06</f>
        <v>73.06</v>
      </c>
      <c r="O692" s="28"/>
      <c r="P692" s="28"/>
      <c r="Q692" s="27" t="s">
        <v>2032</v>
      </c>
      <c r="R692" s="27"/>
      <c r="S692" s="29" t="s">
        <v>2032</v>
      </c>
      <c r="T692" s="29"/>
      <c r="U692" s="29"/>
      <c r="V692" s="29"/>
      <c r="W692" s="30" t="s">
        <v>2032</v>
      </c>
      <c r="X692" s="29" t="s">
        <v>2032</v>
      </c>
      <c r="Y692" s="29"/>
      <c r="Z692" s="29"/>
      <c r="AA692" s="29"/>
      <c r="AB692" s="27" t="s">
        <v>2056</v>
      </c>
      <c r="AC692" s="27"/>
      <c r="AD692" s="27"/>
      <c r="AE692" s="31">
        <f>73.06</f>
        <v>73.06</v>
      </c>
      <c r="AF692" s="31"/>
      <c r="AG692" s="31"/>
    </row>
    <row r="693" spans="1:33" s="1" customFormat="1" ht="33" customHeight="1">
      <c r="A693" s="24" t="s">
        <v>399</v>
      </c>
      <c r="B693" s="25" t="s">
        <v>339</v>
      </c>
      <c r="C693" s="25"/>
      <c r="D693" s="25"/>
      <c r="E693" s="26" t="s">
        <v>400</v>
      </c>
      <c r="F693" s="26"/>
      <c r="G693" s="26"/>
      <c r="H693" s="26"/>
      <c r="I693" s="26"/>
      <c r="J693" s="27" t="s">
        <v>2093</v>
      </c>
      <c r="K693" s="27"/>
      <c r="L693" s="27"/>
      <c r="M693" s="27"/>
      <c r="N693" s="28">
        <f>47250</f>
        <v>47250</v>
      </c>
      <c r="O693" s="28"/>
      <c r="P693" s="28"/>
      <c r="Q693" s="27" t="s">
        <v>2032</v>
      </c>
      <c r="R693" s="27"/>
      <c r="S693" s="29" t="s">
        <v>2032</v>
      </c>
      <c r="T693" s="29"/>
      <c r="U693" s="29"/>
      <c r="V693" s="29"/>
      <c r="W693" s="30" t="s">
        <v>2032</v>
      </c>
      <c r="X693" s="29" t="s">
        <v>2032</v>
      </c>
      <c r="Y693" s="29"/>
      <c r="Z693" s="29"/>
      <c r="AA693" s="29"/>
      <c r="AB693" s="27" t="s">
        <v>2093</v>
      </c>
      <c r="AC693" s="27"/>
      <c r="AD693" s="27"/>
      <c r="AE693" s="31">
        <f>47250</f>
        <v>47250</v>
      </c>
      <c r="AF693" s="31"/>
      <c r="AG693" s="31"/>
    </row>
    <row r="694" spans="1:33" s="1" customFormat="1" ht="18.75" customHeight="1">
      <c r="A694" s="24" t="s">
        <v>401</v>
      </c>
      <c r="B694" s="25" t="s">
        <v>402</v>
      </c>
      <c r="C694" s="25"/>
      <c r="D694" s="25"/>
      <c r="E694" s="26" t="s">
        <v>403</v>
      </c>
      <c r="F694" s="26"/>
      <c r="G694" s="26"/>
      <c r="H694" s="26"/>
      <c r="I694" s="26"/>
      <c r="J694" s="27" t="s">
        <v>2056</v>
      </c>
      <c r="K694" s="27"/>
      <c r="L694" s="27"/>
      <c r="M694" s="27"/>
      <c r="N694" s="28">
        <f>73.06</f>
        <v>73.06</v>
      </c>
      <c r="O694" s="28"/>
      <c r="P694" s="28"/>
      <c r="Q694" s="27" t="s">
        <v>2032</v>
      </c>
      <c r="R694" s="27"/>
      <c r="S694" s="29" t="s">
        <v>2032</v>
      </c>
      <c r="T694" s="29"/>
      <c r="U694" s="29"/>
      <c r="V694" s="29"/>
      <c r="W694" s="30" t="s">
        <v>2032</v>
      </c>
      <c r="X694" s="29" t="s">
        <v>2032</v>
      </c>
      <c r="Y694" s="29"/>
      <c r="Z694" s="29"/>
      <c r="AA694" s="29"/>
      <c r="AB694" s="27" t="s">
        <v>2056</v>
      </c>
      <c r="AC694" s="27"/>
      <c r="AD694" s="27"/>
      <c r="AE694" s="31">
        <f>73.06</f>
        <v>73.06</v>
      </c>
      <c r="AF694" s="31"/>
      <c r="AG694" s="31"/>
    </row>
    <row r="695" spans="1:33" s="1" customFormat="1" ht="18.75" customHeight="1">
      <c r="A695" s="24" t="s">
        <v>404</v>
      </c>
      <c r="B695" s="25" t="s">
        <v>405</v>
      </c>
      <c r="C695" s="25"/>
      <c r="D695" s="25"/>
      <c r="E695" s="26" t="s">
        <v>406</v>
      </c>
      <c r="F695" s="26"/>
      <c r="G695" s="26"/>
      <c r="H695" s="26"/>
      <c r="I695" s="26"/>
      <c r="J695" s="27" t="s">
        <v>2056</v>
      </c>
      <c r="K695" s="27"/>
      <c r="L695" s="27"/>
      <c r="M695" s="27"/>
      <c r="N695" s="28">
        <f>146.13</f>
        <v>146.13</v>
      </c>
      <c r="O695" s="28"/>
      <c r="P695" s="28"/>
      <c r="Q695" s="27" t="s">
        <v>2032</v>
      </c>
      <c r="R695" s="27"/>
      <c r="S695" s="29" t="s">
        <v>2032</v>
      </c>
      <c r="T695" s="29"/>
      <c r="U695" s="29"/>
      <c r="V695" s="29"/>
      <c r="W695" s="30" t="s">
        <v>2032</v>
      </c>
      <c r="X695" s="29" t="s">
        <v>2032</v>
      </c>
      <c r="Y695" s="29"/>
      <c r="Z695" s="29"/>
      <c r="AA695" s="29"/>
      <c r="AB695" s="27" t="s">
        <v>2056</v>
      </c>
      <c r="AC695" s="27"/>
      <c r="AD695" s="27"/>
      <c r="AE695" s="31">
        <f>146.13</f>
        <v>146.13</v>
      </c>
      <c r="AF695" s="31"/>
      <c r="AG695" s="31"/>
    </row>
    <row r="696" spans="1:33" s="1" customFormat="1" ht="18.75" customHeight="1">
      <c r="A696" s="24" t="s">
        <v>407</v>
      </c>
      <c r="B696" s="25" t="s">
        <v>408</v>
      </c>
      <c r="C696" s="25"/>
      <c r="D696" s="25"/>
      <c r="E696" s="26" t="s">
        <v>409</v>
      </c>
      <c r="F696" s="26"/>
      <c r="G696" s="26"/>
      <c r="H696" s="26"/>
      <c r="I696" s="26"/>
      <c r="J696" s="27" t="s">
        <v>2056</v>
      </c>
      <c r="K696" s="27"/>
      <c r="L696" s="27"/>
      <c r="M696" s="27"/>
      <c r="N696" s="28">
        <f>73.06</f>
        <v>73.06</v>
      </c>
      <c r="O696" s="28"/>
      <c r="P696" s="28"/>
      <c r="Q696" s="27" t="s">
        <v>2032</v>
      </c>
      <c r="R696" s="27"/>
      <c r="S696" s="29" t="s">
        <v>2032</v>
      </c>
      <c r="T696" s="29"/>
      <c r="U696" s="29"/>
      <c r="V696" s="29"/>
      <c r="W696" s="30" t="s">
        <v>2032</v>
      </c>
      <c r="X696" s="29" t="s">
        <v>2032</v>
      </c>
      <c r="Y696" s="29"/>
      <c r="Z696" s="29"/>
      <c r="AA696" s="29"/>
      <c r="AB696" s="27" t="s">
        <v>2056</v>
      </c>
      <c r="AC696" s="27"/>
      <c r="AD696" s="27"/>
      <c r="AE696" s="31">
        <f>73.06</f>
        <v>73.06</v>
      </c>
      <c r="AF696" s="31"/>
      <c r="AG696" s="31"/>
    </row>
    <row r="697" spans="1:33" s="1" customFormat="1" ht="18.75" customHeight="1">
      <c r="A697" s="24" t="s">
        <v>410</v>
      </c>
      <c r="B697" s="25" t="s">
        <v>411</v>
      </c>
      <c r="C697" s="25"/>
      <c r="D697" s="25"/>
      <c r="E697" s="26" t="s">
        <v>412</v>
      </c>
      <c r="F697" s="26"/>
      <c r="G697" s="26"/>
      <c r="H697" s="26"/>
      <c r="I697" s="26"/>
      <c r="J697" s="27" t="s">
        <v>2056</v>
      </c>
      <c r="K697" s="27"/>
      <c r="L697" s="27"/>
      <c r="M697" s="27"/>
      <c r="N697" s="28">
        <f>73.06</f>
        <v>73.06</v>
      </c>
      <c r="O697" s="28"/>
      <c r="P697" s="28"/>
      <c r="Q697" s="27" t="s">
        <v>2032</v>
      </c>
      <c r="R697" s="27"/>
      <c r="S697" s="29" t="s">
        <v>2032</v>
      </c>
      <c r="T697" s="29"/>
      <c r="U697" s="29"/>
      <c r="V697" s="29"/>
      <c r="W697" s="30" t="s">
        <v>2032</v>
      </c>
      <c r="X697" s="29" t="s">
        <v>2032</v>
      </c>
      <c r="Y697" s="29"/>
      <c r="Z697" s="29"/>
      <c r="AA697" s="29"/>
      <c r="AB697" s="27" t="s">
        <v>2056</v>
      </c>
      <c r="AC697" s="27"/>
      <c r="AD697" s="27"/>
      <c r="AE697" s="31">
        <f>73.06</f>
        <v>73.06</v>
      </c>
      <c r="AF697" s="31"/>
      <c r="AG697" s="31"/>
    </row>
    <row r="698" spans="1:33" s="1" customFormat="1" ht="18.75" customHeight="1">
      <c r="A698" s="24" t="s">
        <v>413</v>
      </c>
      <c r="B698" s="25" t="s">
        <v>414</v>
      </c>
      <c r="C698" s="25"/>
      <c r="D698" s="25"/>
      <c r="E698" s="26" t="s">
        <v>415</v>
      </c>
      <c r="F698" s="26"/>
      <c r="G698" s="26"/>
      <c r="H698" s="26"/>
      <c r="I698" s="26"/>
      <c r="J698" s="27" t="s">
        <v>2059</v>
      </c>
      <c r="K698" s="27"/>
      <c r="L698" s="27"/>
      <c r="M698" s="27"/>
      <c r="N698" s="28">
        <f>292.24</f>
        <v>292.24</v>
      </c>
      <c r="O698" s="28"/>
      <c r="P698" s="28"/>
      <c r="Q698" s="27" t="s">
        <v>2032</v>
      </c>
      <c r="R698" s="27"/>
      <c r="S698" s="29" t="s">
        <v>2032</v>
      </c>
      <c r="T698" s="29"/>
      <c r="U698" s="29"/>
      <c r="V698" s="29"/>
      <c r="W698" s="30" t="s">
        <v>2032</v>
      </c>
      <c r="X698" s="29" t="s">
        <v>2032</v>
      </c>
      <c r="Y698" s="29"/>
      <c r="Z698" s="29"/>
      <c r="AA698" s="29"/>
      <c r="AB698" s="27" t="s">
        <v>2059</v>
      </c>
      <c r="AC698" s="27"/>
      <c r="AD698" s="27"/>
      <c r="AE698" s="31">
        <f>292.24</f>
        <v>292.24</v>
      </c>
      <c r="AF698" s="31"/>
      <c r="AG698" s="31"/>
    </row>
    <row r="699" spans="1:33" s="1" customFormat="1" ht="33" customHeight="1">
      <c r="A699" s="24" t="s">
        <v>416</v>
      </c>
      <c r="B699" s="25" t="s">
        <v>417</v>
      </c>
      <c r="C699" s="25"/>
      <c r="D699" s="25"/>
      <c r="E699" s="26" t="s">
        <v>418</v>
      </c>
      <c r="F699" s="26"/>
      <c r="G699" s="26"/>
      <c r="H699" s="26"/>
      <c r="I699" s="26"/>
      <c r="J699" s="27" t="s">
        <v>2056</v>
      </c>
      <c r="K699" s="27"/>
      <c r="L699" s="27"/>
      <c r="M699" s="27"/>
      <c r="N699" s="28">
        <f>714.73</f>
        <v>714.73</v>
      </c>
      <c r="O699" s="28"/>
      <c r="P699" s="28"/>
      <c r="Q699" s="27" t="s">
        <v>2032</v>
      </c>
      <c r="R699" s="27"/>
      <c r="S699" s="29" t="s">
        <v>2032</v>
      </c>
      <c r="T699" s="29"/>
      <c r="U699" s="29"/>
      <c r="V699" s="29"/>
      <c r="W699" s="30" t="s">
        <v>2032</v>
      </c>
      <c r="X699" s="29" t="s">
        <v>2032</v>
      </c>
      <c r="Y699" s="29"/>
      <c r="Z699" s="29"/>
      <c r="AA699" s="29"/>
      <c r="AB699" s="27" t="s">
        <v>2056</v>
      </c>
      <c r="AC699" s="27"/>
      <c r="AD699" s="27"/>
      <c r="AE699" s="31">
        <f>714.73</f>
        <v>714.73</v>
      </c>
      <c r="AF699" s="31"/>
      <c r="AG699" s="31"/>
    </row>
    <row r="700" spans="1:33" s="1" customFormat="1" ht="18.75" customHeight="1">
      <c r="A700" s="24" t="s">
        <v>419</v>
      </c>
      <c r="B700" s="25" t="s">
        <v>420</v>
      </c>
      <c r="C700" s="25"/>
      <c r="D700" s="25"/>
      <c r="E700" s="26" t="s">
        <v>421</v>
      </c>
      <c r="F700" s="26"/>
      <c r="G700" s="26"/>
      <c r="H700" s="26"/>
      <c r="I700" s="26"/>
      <c r="J700" s="27" t="s">
        <v>2057</v>
      </c>
      <c r="K700" s="27"/>
      <c r="L700" s="27"/>
      <c r="M700" s="27"/>
      <c r="N700" s="28">
        <f>292.26</f>
        <v>292.26</v>
      </c>
      <c r="O700" s="28"/>
      <c r="P700" s="28"/>
      <c r="Q700" s="27" t="s">
        <v>2032</v>
      </c>
      <c r="R700" s="27"/>
      <c r="S700" s="29" t="s">
        <v>2032</v>
      </c>
      <c r="T700" s="29"/>
      <c r="U700" s="29"/>
      <c r="V700" s="29"/>
      <c r="W700" s="30" t="s">
        <v>2032</v>
      </c>
      <c r="X700" s="29" t="s">
        <v>2032</v>
      </c>
      <c r="Y700" s="29"/>
      <c r="Z700" s="29"/>
      <c r="AA700" s="29"/>
      <c r="AB700" s="27" t="s">
        <v>2057</v>
      </c>
      <c r="AC700" s="27"/>
      <c r="AD700" s="27"/>
      <c r="AE700" s="31">
        <f>292.26</f>
        <v>292.26</v>
      </c>
      <c r="AF700" s="31"/>
      <c r="AG700" s="31"/>
    </row>
    <row r="701" spans="1:33" s="1" customFormat="1" ht="46.5" customHeight="1">
      <c r="A701" s="24" t="s">
        <v>422</v>
      </c>
      <c r="B701" s="25" t="s">
        <v>423</v>
      </c>
      <c r="C701" s="25"/>
      <c r="D701" s="25"/>
      <c r="E701" s="26" t="s">
        <v>424</v>
      </c>
      <c r="F701" s="26"/>
      <c r="G701" s="26"/>
      <c r="H701" s="26"/>
      <c r="I701" s="26"/>
      <c r="J701" s="27" t="s">
        <v>2056</v>
      </c>
      <c r="K701" s="27"/>
      <c r="L701" s="27"/>
      <c r="M701" s="27"/>
      <c r="N701" s="28">
        <f>660</f>
        <v>660</v>
      </c>
      <c r="O701" s="28"/>
      <c r="P701" s="28"/>
      <c r="Q701" s="27" t="s">
        <v>2032</v>
      </c>
      <c r="R701" s="27"/>
      <c r="S701" s="29" t="s">
        <v>2032</v>
      </c>
      <c r="T701" s="29"/>
      <c r="U701" s="29"/>
      <c r="V701" s="29"/>
      <c r="W701" s="30" t="s">
        <v>2032</v>
      </c>
      <c r="X701" s="29" t="s">
        <v>2032</v>
      </c>
      <c r="Y701" s="29"/>
      <c r="Z701" s="29"/>
      <c r="AA701" s="29"/>
      <c r="AB701" s="27" t="s">
        <v>2056</v>
      </c>
      <c r="AC701" s="27"/>
      <c r="AD701" s="27"/>
      <c r="AE701" s="31">
        <f>660</f>
        <v>660</v>
      </c>
      <c r="AF701" s="31"/>
      <c r="AG701" s="31"/>
    </row>
    <row r="702" spans="1:33" s="1" customFormat="1" ht="18.75" customHeight="1">
      <c r="A702" s="24" t="s">
        <v>425</v>
      </c>
      <c r="B702" s="25" t="s">
        <v>426</v>
      </c>
      <c r="C702" s="25"/>
      <c r="D702" s="25"/>
      <c r="E702" s="26" t="s">
        <v>427</v>
      </c>
      <c r="F702" s="26"/>
      <c r="G702" s="26"/>
      <c r="H702" s="26"/>
      <c r="I702" s="26"/>
      <c r="J702" s="27" t="s">
        <v>2061</v>
      </c>
      <c r="K702" s="27"/>
      <c r="L702" s="27"/>
      <c r="M702" s="27"/>
      <c r="N702" s="28">
        <f>1680.47</f>
        <v>1680.47</v>
      </c>
      <c r="O702" s="28"/>
      <c r="P702" s="28"/>
      <c r="Q702" s="27" t="s">
        <v>2032</v>
      </c>
      <c r="R702" s="27"/>
      <c r="S702" s="29" t="s">
        <v>2032</v>
      </c>
      <c r="T702" s="29"/>
      <c r="U702" s="29"/>
      <c r="V702" s="29"/>
      <c r="W702" s="30" t="s">
        <v>2032</v>
      </c>
      <c r="X702" s="29" t="s">
        <v>2032</v>
      </c>
      <c r="Y702" s="29"/>
      <c r="Z702" s="29"/>
      <c r="AA702" s="29"/>
      <c r="AB702" s="27" t="s">
        <v>2061</v>
      </c>
      <c r="AC702" s="27"/>
      <c r="AD702" s="27"/>
      <c r="AE702" s="31">
        <f>1680.47</f>
        <v>1680.47</v>
      </c>
      <c r="AF702" s="31"/>
      <c r="AG702" s="31"/>
    </row>
    <row r="703" spans="1:33" s="1" customFormat="1" ht="33" customHeight="1">
      <c r="A703" s="24" t="s">
        <v>428</v>
      </c>
      <c r="B703" s="25" t="s">
        <v>429</v>
      </c>
      <c r="C703" s="25"/>
      <c r="D703" s="25"/>
      <c r="E703" s="26" t="s">
        <v>430</v>
      </c>
      <c r="F703" s="26"/>
      <c r="G703" s="26"/>
      <c r="H703" s="26"/>
      <c r="I703" s="26"/>
      <c r="J703" s="27" t="s">
        <v>2065</v>
      </c>
      <c r="K703" s="27"/>
      <c r="L703" s="27"/>
      <c r="M703" s="27"/>
      <c r="N703" s="28">
        <f>6136</f>
        <v>6136</v>
      </c>
      <c r="O703" s="28"/>
      <c r="P703" s="28"/>
      <c r="Q703" s="27" t="s">
        <v>2032</v>
      </c>
      <c r="R703" s="27"/>
      <c r="S703" s="29" t="s">
        <v>2032</v>
      </c>
      <c r="T703" s="29"/>
      <c r="U703" s="29"/>
      <c r="V703" s="29"/>
      <c r="W703" s="30" t="s">
        <v>2032</v>
      </c>
      <c r="X703" s="29" t="s">
        <v>2032</v>
      </c>
      <c r="Y703" s="29"/>
      <c r="Z703" s="29"/>
      <c r="AA703" s="29"/>
      <c r="AB703" s="27" t="s">
        <v>2065</v>
      </c>
      <c r="AC703" s="27"/>
      <c r="AD703" s="27"/>
      <c r="AE703" s="31">
        <f>6136</f>
        <v>6136</v>
      </c>
      <c r="AF703" s="31"/>
      <c r="AG703" s="31"/>
    </row>
    <row r="704" spans="1:33" s="1" customFormat="1" ht="18.75" customHeight="1">
      <c r="A704" s="24" t="s">
        <v>431</v>
      </c>
      <c r="B704" s="25" t="s">
        <v>432</v>
      </c>
      <c r="C704" s="25"/>
      <c r="D704" s="25"/>
      <c r="E704" s="26" t="s">
        <v>433</v>
      </c>
      <c r="F704" s="26"/>
      <c r="G704" s="26"/>
      <c r="H704" s="26"/>
      <c r="I704" s="26"/>
      <c r="J704" s="27" t="s">
        <v>2056</v>
      </c>
      <c r="K704" s="27"/>
      <c r="L704" s="27"/>
      <c r="M704" s="27"/>
      <c r="N704" s="28">
        <f>155</f>
        <v>155</v>
      </c>
      <c r="O704" s="28"/>
      <c r="P704" s="28"/>
      <c r="Q704" s="27" t="s">
        <v>2032</v>
      </c>
      <c r="R704" s="27"/>
      <c r="S704" s="29" t="s">
        <v>2032</v>
      </c>
      <c r="T704" s="29"/>
      <c r="U704" s="29"/>
      <c r="V704" s="29"/>
      <c r="W704" s="30" t="s">
        <v>2032</v>
      </c>
      <c r="X704" s="29" t="s">
        <v>2032</v>
      </c>
      <c r="Y704" s="29"/>
      <c r="Z704" s="29"/>
      <c r="AA704" s="29"/>
      <c r="AB704" s="27" t="s">
        <v>2056</v>
      </c>
      <c r="AC704" s="27"/>
      <c r="AD704" s="27"/>
      <c r="AE704" s="31">
        <f>155</f>
        <v>155</v>
      </c>
      <c r="AF704" s="31"/>
      <c r="AG704" s="31"/>
    </row>
    <row r="705" spans="1:33" s="1" customFormat="1" ht="33" customHeight="1">
      <c r="A705" s="24" t="s">
        <v>434</v>
      </c>
      <c r="B705" s="25" t="s">
        <v>435</v>
      </c>
      <c r="C705" s="25"/>
      <c r="D705" s="25"/>
      <c r="E705" s="26" t="s">
        <v>436</v>
      </c>
      <c r="F705" s="26"/>
      <c r="G705" s="26"/>
      <c r="H705" s="26"/>
      <c r="I705" s="26"/>
      <c r="J705" s="27" t="s">
        <v>2056</v>
      </c>
      <c r="K705" s="27"/>
      <c r="L705" s="27"/>
      <c r="M705" s="27"/>
      <c r="N705" s="28">
        <f>1105.07</f>
        <v>1105.07</v>
      </c>
      <c r="O705" s="28"/>
      <c r="P705" s="28"/>
      <c r="Q705" s="27" t="s">
        <v>2032</v>
      </c>
      <c r="R705" s="27"/>
      <c r="S705" s="29" t="s">
        <v>2032</v>
      </c>
      <c r="T705" s="29"/>
      <c r="U705" s="29"/>
      <c r="V705" s="29"/>
      <c r="W705" s="30" t="s">
        <v>2032</v>
      </c>
      <c r="X705" s="29" t="s">
        <v>2032</v>
      </c>
      <c r="Y705" s="29"/>
      <c r="Z705" s="29"/>
      <c r="AA705" s="29"/>
      <c r="AB705" s="27" t="s">
        <v>2056</v>
      </c>
      <c r="AC705" s="27"/>
      <c r="AD705" s="27"/>
      <c r="AE705" s="31">
        <f>1105.07</f>
        <v>1105.07</v>
      </c>
      <c r="AF705" s="31"/>
      <c r="AG705" s="31"/>
    </row>
    <row r="706" spans="1:33" s="1" customFormat="1" ht="18.75" customHeight="1">
      <c r="A706" s="24" t="s">
        <v>437</v>
      </c>
      <c r="B706" s="25" t="s">
        <v>438</v>
      </c>
      <c r="C706" s="25"/>
      <c r="D706" s="25"/>
      <c r="E706" s="26" t="s">
        <v>439</v>
      </c>
      <c r="F706" s="26"/>
      <c r="G706" s="26"/>
      <c r="H706" s="26"/>
      <c r="I706" s="26"/>
      <c r="J706" s="27" t="s">
        <v>2065</v>
      </c>
      <c r="K706" s="27"/>
      <c r="L706" s="27"/>
      <c r="M706" s="27"/>
      <c r="N706" s="28">
        <f>730.6</f>
        <v>730.6</v>
      </c>
      <c r="O706" s="28"/>
      <c r="P706" s="28"/>
      <c r="Q706" s="27" t="s">
        <v>2032</v>
      </c>
      <c r="R706" s="27"/>
      <c r="S706" s="29" t="s">
        <v>2032</v>
      </c>
      <c r="T706" s="29"/>
      <c r="U706" s="29"/>
      <c r="V706" s="29"/>
      <c r="W706" s="30" t="s">
        <v>2032</v>
      </c>
      <c r="X706" s="29" t="s">
        <v>2032</v>
      </c>
      <c r="Y706" s="29"/>
      <c r="Z706" s="29"/>
      <c r="AA706" s="29"/>
      <c r="AB706" s="27" t="s">
        <v>2065</v>
      </c>
      <c r="AC706" s="27"/>
      <c r="AD706" s="27"/>
      <c r="AE706" s="31">
        <f>730.6</f>
        <v>730.6</v>
      </c>
      <c r="AF706" s="31"/>
      <c r="AG706" s="31"/>
    </row>
    <row r="707" spans="1:33" s="1" customFormat="1" ht="18.75" customHeight="1">
      <c r="A707" s="24" t="s">
        <v>440</v>
      </c>
      <c r="B707" s="25" t="s">
        <v>441</v>
      </c>
      <c r="C707" s="25"/>
      <c r="D707" s="25"/>
      <c r="E707" s="26" t="s">
        <v>442</v>
      </c>
      <c r="F707" s="26"/>
      <c r="G707" s="26"/>
      <c r="H707" s="26"/>
      <c r="I707" s="26"/>
      <c r="J707" s="27" t="s">
        <v>2056</v>
      </c>
      <c r="K707" s="27"/>
      <c r="L707" s="27"/>
      <c r="M707" s="27"/>
      <c r="N707" s="28">
        <f>1600</f>
        <v>1600</v>
      </c>
      <c r="O707" s="28"/>
      <c r="P707" s="28"/>
      <c r="Q707" s="27" t="s">
        <v>2032</v>
      </c>
      <c r="R707" s="27"/>
      <c r="S707" s="29" t="s">
        <v>2032</v>
      </c>
      <c r="T707" s="29"/>
      <c r="U707" s="29"/>
      <c r="V707" s="29"/>
      <c r="W707" s="30" t="s">
        <v>2032</v>
      </c>
      <c r="X707" s="29" t="s">
        <v>2032</v>
      </c>
      <c r="Y707" s="29"/>
      <c r="Z707" s="29"/>
      <c r="AA707" s="29"/>
      <c r="AB707" s="27" t="s">
        <v>2056</v>
      </c>
      <c r="AC707" s="27"/>
      <c r="AD707" s="27"/>
      <c r="AE707" s="31">
        <f>1600</f>
        <v>1600</v>
      </c>
      <c r="AF707" s="31"/>
      <c r="AG707" s="31"/>
    </row>
    <row r="708" spans="1:33" s="1" customFormat="1" ht="33" customHeight="1">
      <c r="A708" s="24" t="s">
        <v>443</v>
      </c>
      <c r="B708" s="25" t="s">
        <v>444</v>
      </c>
      <c r="C708" s="25"/>
      <c r="D708" s="25"/>
      <c r="E708" s="26" t="s">
        <v>445</v>
      </c>
      <c r="F708" s="26"/>
      <c r="G708" s="26"/>
      <c r="H708" s="26"/>
      <c r="I708" s="26"/>
      <c r="J708" s="27" t="s">
        <v>2065</v>
      </c>
      <c r="K708" s="27"/>
      <c r="L708" s="27"/>
      <c r="M708" s="27"/>
      <c r="N708" s="28">
        <f>970</f>
        <v>970</v>
      </c>
      <c r="O708" s="28"/>
      <c r="P708" s="28"/>
      <c r="Q708" s="27" t="s">
        <v>2032</v>
      </c>
      <c r="R708" s="27"/>
      <c r="S708" s="29" t="s">
        <v>2032</v>
      </c>
      <c r="T708" s="29"/>
      <c r="U708" s="29"/>
      <c r="V708" s="29"/>
      <c r="W708" s="30" t="s">
        <v>2032</v>
      </c>
      <c r="X708" s="29" t="s">
        <v>2032</v>
      </c>
      <c r="Y708" s="29"/>
      <c r="Z708" s="29"/>
      <c r="AA708" s="29"/>
      <c r="AB708" s="27" t="s">
        <v>2065</v>
      </c>
      <c r="AC708" s="27"/>
      <c r="AD708" s="27"/>
      <c r="AE708" s="31">
        <f>970</f>
        <v>970</v>
      </c>
      <c r="AF708" s="31"/>
      <c r="AG708" s="31"/>
    </row>
    <row r="709" spans="1:33" s="1" customFormat="1" ht="18.75" customHeight="1">
      <c r="A709" s="24" t="s">
        <v>446</v>
      </c>
      <c r="B709" s="25" t="s">
        <v>447</v>
      </c>
      <c r="C709" s="25"/>
      <c r="D709" s="25"/>
      <c r="E709" s="26" t="s">
        <v>448</v>
      </c>
      <c r="F709" s="26"/>
      <c r="G709" s="26"/>
      <c r="H709" s="26"/>
      <c r="I709" s="26"/>
      <c r="J709" s="27" t="s">
        <v>2056</v>
      </c>
      <c r="K709" s="27"/>
      <c r="L709" s="27"/>
      <c r="M709" s="27"/>
      <c r="N709" s="28">
        <f>325</f>
        <v>325</v>
      </c>
      <c r="O709" s="28"/>
      <c r="P709" s="28"/>
      <c r="Q709" s="27" t="s">
        <v>2032</v>
      </c>
      <c r="R709" s="27"/>
      <c r="S709" s="29" t="s">
        <v>2032</v>
      </c>
      <c r="T709" s="29"/>
      <c r="U709" s="29"/>
      <c r="V709" s="29"/>
      <c r="W709" s="30" t="s">
        <v>2032</v>
      </c>
      <c r="X709" s="29" t="s">
        <v>2032</v>
      </c>
      <c r="Y709" s="29"/>
      <c r="Z709" s="29"/>
      <c r="AA709" s="29"/>
      <c r="AB709" s="27" t="s">
        <v>2056</v>
      </c>
      <c r="AC709" s="27"/>
      <c r="AD709" s="27"/>
      <c r="AE709" s="31">
        <f>325</f>
        <v>325</v>
      </c>
      <c r="AF709" s="31"/>
      <c r="AG709" s="31"/>
    </row>
    <row r="710" spans="1:33" s="1" customFormat="1" ht="18.75" customHeight="1">
      <c r="A710" s="24" t="s">
        <v>449</v>
      </c>
      <c r="B710" s="25" t="s">
        <v>450</v>
      </c>
      <c r="C710" s="25"/>
      <c r="D710" s="25"/>
      <c r="E710" s="26" t="s">
        <v>451</v>
      </c>
      <c r="F710" s="26"/>
      <c r="G710" s="26"/>
      <c r="H710" s="26"/>
      <c r="I710" s="26"/>
      <c r="J710" s="27" t="s">
        <v>2056</v>
      </c>
      <c r="K710" s="27"/>
      <c r="L710" s="27"/>
      <c r="M710" s="27"/>
      <c r="N710" s="28">
        <f>325</f>
        <v>325</v>
      </c>
      <c r="O710" s="28"/>
      <c r="P710" s="28"/>
      <c r="Q710" s="27" t="s">
        <v>2032</v>
      </c>
      <c r="R710" s="27"/>
      <c r="S710" s="29" t="s">
        <v>2032</v>
      </c>
      <c r="T710" s="29"/>
      <c r="U710" s="29"/>
      <c r="V710" s="29"/>
      <c r="W710" s="30" t="s">
        <v>2032</v>
      </c>
      <c r="X710" s="29" t="s">
        <v>2032</v>
      </c>
      <c r="Y710" s="29"/>
      <c r="Z710" s="29"/>
      <c r="AA710" s="29"/>
      <c r="AB710" s="27" t="s">
        <v>2056</v>
      </c>
      <c r="AC710" s="27"/>
      <c r="AD710" s="27"/>
      <c r="AE710" s="31">
        <f>325</f>
        <v>325</v>
      </c>
      <c r="AF710" s="31"/>
      <c r="AG710" s="31"/>
    </row>
    <row r="711" spans="1:33" s="1" customFormat="1" ht="18.75" customHeight="1">
      <c r="A711" s="24" t="s">
        <v>452</v>
      </c>
      <c r="B711" s="25" t="s">
        <v>453</v>
      </c>
      <c r="C711" s="25"/>
      <c r="D711" s="25"/>
      <c r="E711" s="26" t="s">
        <v>454</v>
      </c>
      <c r="F711" s="26"/>
      <c r="G711" s="26"/>
      <c r="H711" s="26"/>
      <c r="I711" s="26"/>
      <c r="J711" s="27" t="s">
        <v>2056</v>
      </c>
      <c r="K711" s="27"/>
      <c r="L711" s="27"/>
      <c r="M711" s="27"/>
      <c r="N711" s="28">
        <f>70</f>
        <v>70</v>
      </c>
      <c r="O711" s="28"/>
      <c r="P711" s="28"/>
      <c r="Q711" s="27" t="s">
        <v>2032</v>
      </c>
      <c r="R711" s="27"/>
      <c r="S711" s="29" t="s">
        <v>2032</v>
      </c>
      <c r="T711" s="29"/>
      <c r="U711" s="29"/>
      <c r="V711" s="29"/>
      <c r="W711" s="30" t="s">
        <v>2032</v>
      </c>
      <c r="X711" s="29" t="s">
        <v>2032</v>
      </c>
      <c r="Y711" s="29"/>
      <c r="Z711" s="29"/>
      <c r="AA711" s="29"/>
      <c r="AB711" s="27" t="s">
        <v>2056</v>
      </c>
      <c r="AC711" s="27"/>
      <c r="AD711" s="27"/>
      <c r="AE711" s="31">
        <f>70</f>
        <v>70</v>
      </c>
      <c r="AF711" s="31"/>
      <c r="AG711" s="31"/>
    </row>
    <row r="712" spans="1:33" s="1" customFormat="1" ht="18.75" customHeight="1">
      <c r="A712" s="24" t="s">
        <v>455</v>
      </c>
      <c r="B712" s="25" t="s">
        <v>456</v>
      </c>
      <c r="C712" s="25"/>
      <c r="D712" s="25"/>
      <c r="E712" s="26" t="s">
        <v>457</v>
      </c>
      <c r="F712" s="26"/>
      <c r="G712" s="26"/>
      <c r="H712" s="26"/>
      <c r="I712" s="26"/>
      <c r="J712" s="27" t="s">
        <v>2056</v>
      </c>
      <c r="K712" s="27"/>
      <c r="L712" s="27"/>
      <c r="M712" s="27"/>
      <c r="N712" s="28">
        <f>146.13</f>
        <v>146.13</v>
      </c>
      <c r="O712" s="28"/>
      <c r="P712" s="28"/>
      <c r="Q712" s="27" t="s">
        <v>2032</v>
      </c>
      <c r="R712" s="27"/>
      <c r="S712" s="29" t="s">
        <v>2032</v>
      </c>
      <c r="T712" s="29"/>
      <c r="U712" s="29"/>
      <c r="V712" s="29"/>
      <c r="W712" s="30" t="s">
        <v>2032</v>
      </c>
      <c r="X712" s="29" t="s">
        <v>2032</v>
      </c>
      <c r="Y712" s="29"/>
      <c r="Z712" s="29"/>
      <c r="AA712" s="29"/>
      <c r="AB712" s="27" t="s">
        <v>2056</v>
      </c>
      <c r="AC712" s="27"/>
      <c r="AD712" s="27"/>
      <c r="AE712" s="31">
        <f>146.13</f>
        <v>146.13</v>
      </c>
      <c r="AF712" s="31"/>
      <c r="AG712" s="31"/>
    </row>
    <row r="713" spans="1:33" s="1" customFormat="1" ht="18.75" customHeight="1">
      <c r="A713" s="24" t="s">
        <v>458</v>
      </c>
      <c r="B713" s="25" t="s">
        <v>459</v>
      </c>
      <c r="C713" s="25"/>
      <c r="D713" s="25"/>
      <c r="E713" s="26" t="s">
        <v>460</v>
      </c>
      <c r="F713" s="26"/>
      <c r="G713" s="26"/>
      <c r="H713" s="26"/>
      <c r="I713" s="26"/>
      <c r="J713" s="27" t="s">
        <v>2056</v>
      </c>
      <c r="K713" s="27"/>
      <c r="L713" s="27"/>
      <c r="M713" s="27"/>
      <c r="N713" s="28">
        <f>511.45</f>
        <v>511.45</v>
      </c>
      <c r="O713" s="28"/>
      <c r="P713" s="28"/>
      <c r="Q713" s="27" t="s">
        <v>2032</v>
      </c>
      <c r="R713" s="27"/>
      <c r="S713" s="29" t="s">
        <v>2032</v>
      </c>
      <c r="T713" s="29"/>
      <c r="U713" s="29"/>
      <c r="V713" s="29"/>
      <c r="W713" s="30" t="s">
        <v>2032</v>
      </c>
      <c r="X713" s="29" t="s">
        <v>2032</v>
      </c>
      <c r="Y713" s="29"/>
      <c r="Z713" s="29"/>
      <c r="AA713" s="29"/>
      <c r="AB713" s="27" t="s">
        <v>2056</v>
      </c>
      <c r="AC713" s="27"/>
      <c r="AD713" s="27"/>
      <c r="AE713" s="31">
        <f>511.45</f>
        <v>511.45</v>
      </c>
      <c r="AF713" s="31"/>
      <c r="AG713" s="31"/>
    </row>
    <row r="714" spans="1:33" s="1" customFormat="1" ht="18.75" customHeight="1">
      <c r="A714" s="24" t="s">
        <v>461</v>
      </c>
      <c r="B714" s="25" t="s">
        <v>462</v>
      </c>
      <c r="C714" s="25"/>
      <c r="D714" s="25"/>
      <c r="E714" s="26" t="s">
        <v>463</v>
      </c>
      <c r="F714" s="26"/>
      <c r="G714" s="26"/>
      <c r="H714" s="26"/>
      <c r="I714" s="26"/>
      <c r="J714" s="27" t="s">
        <v>2085</v>
      </c>
      <c r="K714" s="27"/>
      <c r="L714" s="27"/>
      <c r="M714" s="27"/>
      <c r="N714" s="28">
        <f>876.72</f>
        <v>876.72</v>
      </c>
      <c r="O714" s="28"/>
      <c r="P714" s="28"/>
      <c r="Q714" s="27" t="s">
        <v>2032</v>
      </c>
      <c r="R714" s="27"/>
      <c r="S714" s="29" t="s">
        <v>2032</v>
      </c>
      <c r="T714" s="29"/>
      <c r="U714" s="29"/>
      <c r="V714" s="29"/>
      <c r="W714" s="30" t="s">
        <v>2032</v>
      </c>
      <c r="X714" s="29" t="s">
        <v>2032</v>
      </c>
      <c r="Y714" s="29"/>
      <c r="Z714" s="29"/>
      <c r="AA714" s="29"/>
      <c r="AB714" s="27" t="s">
        <v>2085</v>
      </c>
      <c r="AC714" s="27"/>
      <c r="AD714" s="27"/>
      <c r="AE714" s="31">
        <f>876.72</f>
        <v>876.72</v>
      </c>
      <c r="AF714" s="31"/>
      <c r="AG714" s="31"/>
    </row>
    <row r="715" spans="1:33" s="1" customFormat="1" ht="18.75" customHeight="1">
      <c r="A715" s="24" t="s">
        <v>464</v>
      </c>
      <c r="B715" s="25" t="s">
        <v>465</v>
      </c>
      <c r="C715" s="25"/>
      <c r="D715" s="25"/>
      <c r="E715" s="26" t="s">
        <v>466</v>
      </c>
      <c r="F715" s="26"/>
      <c r="G715" s="26"/>
      <c r="H715" s="26"/>
      <c r="I715" s="26"/>
      <c r="J715" s="27" t="s">
        <v>2056</v>
      </c>
      <c r="K715" s="27"/>
      <c r="L715" s="27"/>
      <c r="M715" s="27"/>
      <c r="N715" s="28">
        <f>53</f>
        <v>53</v>
      </c>
      <c r="O715" s="28"/>
      <c r="P715" s="28"/>
      <c r="Q715" s="27" t="s">
        <v>2032</v>
      </c>
      <c r="R715" s="27"/>
      <c r="S715" s="29" t="s">
        <v>2032</v>
      </c>
      <c r="T715" s="29"/>
      <c r="U715" s="29"/>
      <c r="V715" s="29"/>
      <c r="W715" s="30" t="s">
        <v>2032</v>
      </c>
      <c r="X715" s="29" t="s">
        <v>2032</v>
      </c>
      <c r="Y715" s="29"/>
      <c r="Z715" s="29"/>
      <c r="AA715" s="29"/>
      <c r="AB715" s="27" t="s">
        <v>2056</v>
      </c>
      <c r="AC715" s="27"/>
      <c r="AD715" s="27"/>
      <c r="AE715" s="31">
        <f>53</f>
        <v>53</v>
      </c>
      <c r="AF715" s="31"/>
      <c r="AG715" s="31"/>
    </row>
    <row r="716" spans="1:33" s="1" customFormat="1" ht="18.75" customHeight="1">
      <c r="A716" s="24" t="s">
        <v>467</v>
      </c>
      <c r="B716" s="25" t="s">
        <v>468</v>
      </c>
      <c r="C716" s="25"/>
      <c r="D716" s="25"/>
      <c r="E716" s="26" t="s">
        <v>463</v>
      </c>
      <c r="F716" s="26"/>
      <c r="G716" s="26"/>
      <c r="H716" s="26"/>
      <c r="I716" s="26"/>
      <c r="J716" s="27" t="s">
        <v>2057</v>
      </c>
      <c r="K716" s="27"/>
      <c r="L716" s="27"/>
      <c r="M716" s="27"/>
      <c r="N716" s="28">
        <f>86</f>
        <v>86</v>
      </c>
      <c r="O716" s="28"/>
      <c r="P716" s="28"/>
      <c r="Q716" s="27" t="s">
        <v>2032</v>
      </c>
      <c r="R716" s="27"/>
      <c r="S716" s="29" t="s">
        <v>2032</v>
      </c>
      <c r="T716" s="29"/>
      <c r="U716" s="29"/>
      <c r="V716" s="29"/>
      <c r="W716" s="30" t="s">
        <v>2032</v>
      </c>
      <c r="X716" s="29" t="s">
        <v>2032</v>
      </c>
      <c r="Y716" s="29"/>
      <c r="Z716" s="29"/>
      <c r="AA716" s="29"/>
      <c r="AB716" s="27" t="s">
        <v>2057</v>
      </c>
      <c r="AC716" s="27"/>
      <c r="AD716" s="27"/>
      <c r="AE716" s="31">
        <f>86</f>
        <v>86</v>
      </c>
      <c r="AF716" s="31"/>
      <c r="AG716" s="31"/>
    </row>
    <row r="717" spans="1:33" s="1" customFormat="1" ht="18.75" customHeight="1">
      <c r="A717" s="24" t="s">
        <v>469</v>
      </c>
      <c r="B717" s="25" t="s">
        <v>470</v>
      </c>
      <c r="C717" s="25"/>
      <c r="D717" s="25"/>
      <c r="E717" s="26" t="s">
        <v>466</v>
      </c>
      <c r="F717" s="26"/>
      <c r="G717" s="26"/>
      <c r="H717" s="26"/>
      <c r="I717" s="26"/>
      <c r="J717" s="27" t="s">
        <v>2056</v>
      </c>
      <c r="K717" s="27"/>
      <c r="L717" s="27"/>
      <c r="M717" s="27"/>
      <c r="N717" s="28">
        <f>33</f>
        <v>33</v>
      </c>
      <c r="O717" s="28"/>
      <c r="P717" s="28"/>
      <c r="Q717" s="27" t="s">
        <v>2032</v>
      </c>
      <c r="R717" s="27"/>
      <c r="S717" s="29" t="s">
        <v>2032</v>
      </c>
      <c r="T717" s="29"/>
      <c r="U717" s="29"/>
      <c r="V717" s="29"/>
      <c r="W717" s="30" t="s">
        <v>2032</v>
      </c>
      <c r="X717" s="29" t="s">
        <v>2032</v>
      </c>
      <c r="Y717" s="29"/>
      <c r="Z717" s="29"/>
      <c r="AA717" s="29"/>
      <c r="AB717" s="27" t="s">
        <v>2056</v>
      </c>
      <c r="AC717" s="27"/>
      <c r="AD717" s="27"/>
      <c r="AE717" s="31">
        <f>33</f>
        <v>33</v>
      </c>
      <c r="AF717" s="31"/>
      <c r="AG717" s="31"/>
    </row>
    <row r="718" spans="1:33" s="1" customFormat="1" ht="18.75" customHeight="1">
      <c r="A718" s="24" t="s">
        <v>471</v>
      </c>
      <c r="B718" s="25" t="s">
        <v>472</v>
      </c>
      <c r="C718" s="25"/>
      <c r="D718" s="25"/>
      <c r="E718" s="26" t="s">
        <v>463</v>
      </c>
      <c r="F718" s="26"/>
      <c r="G718" s="26"/>
      <c r="H718" s="26"/>
      <c r="I718" s="26"/>
      <c r="J718" s="27" t="s">
        <v>2056</v>
      </c>
      <c r="K718" s="27"/>
      <c r="L718" s="27"/>
      <c r="M718" s="27"/>
      <c r="N718" s="28">
        <f>36</f>
        <v>36</v>
      </c>
      <c r="O718" s="28"/>
      <c r="P718" s="28"/>
      <c r="Q718" s="27" t="s">
        <v>2032</v>
      </c>
      <c r="R718" s="27"/>
      <c r="S718" s="29" t="s">
        <v>2032</v>
      </c>
      <c r="T718" s="29"/>
      <c r="U718" s="29"/>
      <c r="V718" s="29"/>
      <c r="W718" s="30" t="s">
        <v>2032</v>
      </c>
      <c r="X718" s="29" t="s">
        <v>2032</v>
      </c>
      <c r="Y718" s="29"/>
      <c r="Z718" s="29"/>
      <c r="AA718" s="29"/>
      <c r="AB718" s="27" t="s">
        <v>2056</v>
      </c>
      <c r="AC718" s="27"/>
      <c r="AD718" s="27"/>
      <c r="AE718" s="31">
        <f>36</f>
        <v>36</v>
      </c>
      <c r="AF718" s="31"/>
      <c r="AG718" s="31"/>
    </row>
    <row r="719" spans="1:33" s="1" customFormat="1" ht="18.75" customHeight="1">
      <c r="A719" s="24" t="s">
        <v>473</v>
      </c>
      <c r="B719" s="25" t="s">
        <v>474</v>
      </c>
      <c r="C719" s="25"/>
      <c r="D719" s="25"/>
      <c r="E719" s="26" t="s">
        <v>475</v>
      </c>
      <c r="F719" s="26"/>
      <c r="G719" s="26"/>
      <c r="H719" s="26"/>
      <c r="I719" s="26"/>
      <c r="J719" s="27" t="s">
        <v>2056</v>
      </c>
      <c r="K719" s="27"/>
      <c r="L719" s="27"/>
      <c r="M719" s="27"/>
      <c r="N719" s="28">
        <f>79.56</f>
        <v>79.56</v>
      </c>
      <c r="O719" s="28"/>
      <c r="P719" s="28"/>
      <c r="Q719" s="27" t="s">
        <v>2032</v>
      </c>
      <c r="R719" s="27"/>
      <c r="S719" s="29" t="s">
        <v>2032</v>
      </c>
      <c r="T719" s="29"/>
      <c r="U719" s="29"/>
      <c r="V719" s="29"/>
      <c r="W719" s="30" t="s">
        <v>2032</v>
      </c>
      <c r="X719" s="29" t="s">
        <v>2032</v>
      </c>
      <c r="Y719" s="29"/>
      <c r="Z719" s="29"/>
      <c r="AA719" s="29"/>
      <c r="AB719" s="27" t="s">
        <v>2056</v>
      </c>
      <c r="AC719" s="27"/>
      <c r="AD719" s="27"/>
      <c r="AE719" s="31">
        <f>79.56</f>
        <v>79.56</v>
      </c>
      <c r="AF719" s="31"/>
      <c r="AG719" s="31"/>
    </row>
    <row r="720" spans="1:33" s="1" customFormat="1" ht="18.75" customHeight="1">
      <c r="A720" s="24" t="s">
        <v>476</v>
      </c>
      <c r="B720" s="25" t="s">
        <v>477</v>
      </c>
      <c r="C720" s="25"/>
      <c r="D720" s="25"/>
      <c r="E720" s="26" t="s">
        <v>478</v>
      </c>
      <c r="F720" s="26"/>
      <c r="G720" s="26"/>
      <c r="H720" s="26"/>
      <c r="I720" s="26"/>
      <c r="J720" s="27" t="s">
        <v>2060</v>
      </c>
      <c r="K720" s="27"/>
      <c r="L720" s="27"/>
      <c r="M720" s="27"/>
      <c r="N720" s="28">
        <f>714</f>
        <v>714</v>
      </c>
      <c r="O720" s="28"/>
      <c r="P720" s="28"/>
      <c r="Q720" s="27" t="s">
        <v>2032</v>
      </c>
      <c r="R720" s="27"/>
      <c r="S720" s="29" t="s">
        <v>2032</v>
      </c>
      <c r="T720" s="29"/>
      <c r="U720" s="29"/>
      <c r="V720" s="29"/>
      <c r="W720" s="30" t="s">
        <v>2032</v>
      </c>
      <c r="X720" s="29" t="s">
        <v>2032</v>
      </c>
      <c r="Y720" s="29"/>
      <c r="Z720" s="29"/>
      <c r="AA720" s="29"/>
      <c r="AB720" s="27" t="s">
        <v>2060</v>
      </c>
      <c r="AC720" s="27"/>
      <c r="AD720" s="27"/>
      <c r="AE720" s="31">
        <f>714</f>
        <v>714</v>
      </c>
      <c r="AF720" s="31"/>
      <c r="AG720" s="31"/>
    </row>
    <row r="721" spans="1:33" s="1" customFormat="1" ht="18.75" customHeight="1">
      <c r="A721" s="24" t="s">
        <v>479</v>
      </c>
      <c r="B721" s="25" t="s">
        <v>480</v>
      </c>
      <c r="C721" s="25"/>
      <c r="D721" s="25"/>
      <c r="E721" s="26" t="s">
        <v>481</v>
      </c>
      <c r="F721" s="26"/>
      <c r="G721" s="26"/>
      <c r="H721" s="26"/>
      <c r="I721" s="26"/>
      <c r="J721" s="27" t="s">
        <v>2059</v>
      </c>
      <c r="K721" s="27"/>
      <c r="L721" s="27"/>
      <c r="M721" s="27"/>
      <c r="N721" s="28">
        <f>760</f>
        <v>760</v>
      </c>
      <c r="O721" s="28"/>
      <c r="P721" s="28"/>
      <c r="Q721" s="27" t="s">
        <v>2032</v>
      </c>
      <c r="R721" s="27"/>
      <c r="S721" s="29" t="s">
        <v>2032</v>
      </c>
      <c r="T721" s="29"/>
      <c r="U721" s="29"/>
      <c r="V721" s="29"/>
      <c r="W721" s="30" t="s">
        <v>2032</v>
      </c>
      <c r="X721" s="29" t="s">
        <v>2032</v>
      </c>
      <c r="Y721" s="29"/>
      <c r="Z721" s="29"/>
      <c r="AA721" s="29"/>
      <c r="AB721" s="27" t="s">
        <v>2059</v>
      </c>
      <c r="AC721" s="27"/>
      <c r="AD721" s="27"/>
      <c r="AE721" s="31">
        <f>760</f>
        <v>760</v>
      </c>
      <c r="AF721" s="31"/>
      <c r="AG721" s="31"/>
    </row>
    <row r="722" spans="1:33" s="1" customFormat="1" ht="18.75" customHeight="1">
      <c r="A722" s="24" t="s">
        <v>482</v>
      </c>
      <c r="B722" s="25" t="s">
        <v>483</v>
      </c>
      <c r="C722" s="25"/>
      <c r="D722" s="25"/>
      <c r="E722" s="26" t="s">
        <v>484</v>
      </c>
      <c r="F722" s="26"/>
      <c r="G722" s="26"/>
      <c r="H722" s="26"/>
      <c r="I722" s="26"/>
      <c r="J722" s="27" t="s">
        <v>2057</v>
      </c>
      <c r="K722" s="27"/>
      <c r="L722" s="27"/>
      <c r="M722" s="27"/>
      <c r="N722" s="28">
        <f>440</f>
        <v>440</v>
      </c>
      <c r="O722" s="28"/>
      <c r="P722" s="28"/>
      <c r="Q722" s="27" t="s">
        <v>2032</v>
      </c>
      <c r="R722" s="27"/>
      <c r="S722" s="29" t="s">
        <v>2032</v>
      </c>
      <c r="T722" s="29"/>
      <c r="U722" s="29"/>
      <c r="V722" s="29"/>
      <c r="W722" s="30" t="s">
        <v>2032</v>
      </c>
      <c r="X722" s="29" t="s">
        <v>2032</v>
      </c>
      <c r="Y722" s="29"/>
      <c r="Z722" s="29"/>
      <c r="AA722" s="29"/>
      <c r="AB722" s="27" t="s">
        <v>2057</v>
      </c>
      <c r="AC722" s="27"/>
      <c r="AD722" s="27"/>
      <c r="AE722" s="31">
        <f>440</f>
        <v>440</v>
      </c>
      <c r="AF722" s="31"/>
      <c r="AG722" s="31"/>
    </row>
    <row r="723" spans="1:33" s="1" customFormat="1" ht="18.75" customHeight="1">
      <c r="A723" s="24" t="s">
        <v>485</v>
      </c>
      <c r="B723" s="25" t="s">
        <v>486</v>
      </c>
      <c r="C723" s="25"/>
      <c r="D723" s="25"/>
      <c r="E723" s="26" t="s">
        <v>487</v>
      </c>
      <c r="F723" s="26"/>
      <c r="G723" s="26"/>
      <c r="H723" s="26"/>
      <c r="I723" s="26"/>
      <c r="J723" s="27" t="s">
        <v>2056</v>
      </c>
      <c r="K723" s="27"/>
      <c r="L723" s="27"/>
      <c r="M723" s="27"/>
      <c r="N723" s="28">
        <f>235</f>
        <v>235</v>
      </c>
      <c r="O723" s="28"/>
      <c r="P723" s="28"/>
      <c r="Q723" s="27" t="s">
        <v>2032</v>
      </c>
      <c r="R723" s="27"/>
      <c r="S723" s="29" t="s">
        <v>2032</v>
      </c>
      <c r="T723" s="29"/>
      <c r="U723" s="29"/>
      <c r="V723" s="29"/>
      <c r="W723" s="30" t="s">
        <v>2032</v>
      </c>
      <c r="X723" s="29" t="s">
        <v>2032</v>
      </c>
      <c r="Y723" s="29"/>
      <c r="Z723" s="29"/>
      <c r="AA723" s="29"/>
      <c r="AB723" s="27" t="s">
        <v>2056</v>
      </c>
      <c r="AC723" s="27"/>
      <c r="AD723" s="27"/>
      <c r="AE723" s="31">
        <f>235</f>
        <v>235</v>
      </c>
      <c r="AF723" s="31"/>
      <c r="AG723" s="31"/>
    </row>
    <row r="724" spans="1:33" s="1" customFormat="1" ht="18.75" customHeight="1">
      <c r="A724" s="24" t="s">
        <v>488</v>
      </c>
      <c r="B724" s="25" t="s">
        <v>489</v>
      </c>
      <c r="C724" s="25"/>
      <c r="D724" s="25"/>
      <c r="E724" s="26" t="s">
        <v>490</v>
      </c>
      <c r="F724" s="26"/>
      <c r="G724" s="26"/>
      <c r="H724" s="26"/>
      <c r="I724" s="26"/>
      <c r="J724" s="27" t="s">
        <v>2059</v>
      </c>
      <c r="K724" s="27"/>
      <c r="L724" s="27"/>
      <c r="M724" s="27"/>
      <c r="N724" s="28">
        <f>680</f>
        <v>680</v>
      </c>
      <c r="O724" s="28"/>
      <c r="P724" s="28"/>
      <c r="Q724" s="27" t="s">
        <v>2032</v>
      </c>
      <c r="R724" s="27"/>
      <c r="S724" s="29" t="s">
        <v>2032</v>
      </c>
      <c r="T724" s="29"/>
      <c r="U724" s="29"/>
      <c r="V724" s="29"/>
      <c r="W724" s="30" t="s">
        <v>2032</v>
      </c>
      <c r="X724" s="29" t="s">
        <v>2032</v>
      </c>
      <c r="Y724" s="29"/>
      <c r="Z724" s="29"/>
      <c r="AA724" s="29"/>
      <c r="AB724" s="27" t="s">
        <v>2059</v>
      </c>
      <c r="AC724" s="27"/>
      <c r="AD724" s="27"/>
      <c r="AE724" s="31">
        <f>680</f>
        <v>680</v>
      </c>
      <c r="AF724" s="31"/>
      <c r="AG724" s="31"/>
    </row>
    <row r="725" spans="1:33" s="1" customFormat="1" ht="33" customHeight="1">
      <c r="A725" s="24" t="s">
        <v>491</v>
      </c>
      <c r="B725" s="25" t="s">
        <v>492</v>
      </c>
      <c r="C725" s="25"/>
      <c r="D725" s="25"/>
      <c r="E725" s="26" t="s">
        <v>493</v>
      </c>
      <c r="F725" s="26"/>
      <c r="G725" s="26"/>
      <c r="H725" s="26"/>
      <c r="I725" s="26"/>
      <c r="J725" s="27" t="s">
        <v>2065</v>
      </c>
      <c r="K725" s="27"/>
      <c r="L725" s="27"/>
      <c r="M725" s="27"/>
      <c r="N725" s="28">
        <f>1888</f>
        <v>1888</v>
      </c>
      <c r="O725" s="28"/>
      <c r="P725" s="28"/>
      <c r="Q725" s="27" t="s">
        <v>2032</v>
      </c>
      <c r="R725" s="27"/>
      <c r="S725" s="29" t="s">
        <v>2032</v>
      </c>
      <c r="T725" s="29"/>
      <c r="U725" s="29"/>
      <c r="V725" s="29"/>
      <c r="W725" s="30" t="s">
        <v>2032</v>
      </c>
      <c r="X725" s="29" t="s">
        <v>2032</v>
      </c>
      <c r="Y725" s="29"/>
      <c r="Z725" s="29"/>
      <c r="AA725" s="29"/>
      <c r="AB725" s="27" t="s">
        <v>2065</v>
      </c>
      <c r="AC725" s="27"/>
      <c r="AD725" s="27"/>
      <c r="AE725" s="31">
        <f>1888</f>
        <v>1888</v>
      </c>
      <c r="AF725" s="31"/>
      <c r="AG725" s="31"/>
    </row>
    <row r="726" spans="1:33" s="1" customFormat="1" ht="18.75" customHeight="1">
      <c r="A726" s="24" t="s">
        <v>494</v>
      </c>
      <c r="B726" s="25" t="s">
        <v>2579</v>
      </c>
      <c r="C726" s="25"/>
      <c r="D726" s="25"/>
      <c r="E726" s="26" t="s">
        <v>495</v>
      </c>
      <c r="F726" s="26"/>
      <c r="G726" s="26"/>
      <c r="H726" s="26"/>
      <c r="I726" s="26"/>
      <c r="J726" s="27" t="s">
        <v>2056</v>
      </c>
      <c r="K726" s="27"/>
      <c r="L726" s="27"/>
      <c r="M726" s="27"/>
      <c r="N726" s="28">
        <f>73.06</f>
        <v>73.06</v>
      </c>
      <c r="O726" s="28"/>
      <c r="P726" s="28"/>
      <c r="Q726" s="27" t="s">
        <v>2032</v>
      </c>
      <c r="R726" s="27"/>
      <c r="S726" s="29" t="s">
        <v>2032</v>
      </c>
      <c r="T726" s="29"/>
      <c r="U726" s="29"/>
      <c r="V726" s="29"/>
      <c r="W726" s="30" t="s">
        <v>2032</v>
      </c>
      <c r="X726" s="29" t="s">
        <v>2032</v>
      </c>
      <c r="Y726" s="29"/>
      <c r="Z726" s="29"/>
      <c r="AA726" s="29"/>
      <c r="AB726" s="27" t="s">
        <v>2056</v>
      </c>
      <c r="AC726" s="27"/>
      <c r="AD726" s="27"/>
      <c r="AE726" s="31">
        <f>73.06</f>
        <v>73.06</v>
      </c>
      <c r="AF726" s="31"/>
      <c r="AG726" s="31"/>
    </row>
    <row r="727" spans="1:33" s="1" customFormat="1" ht="18.75" customHeight="1">
      <c r="A727" s="24" t="s">
        <v>496</v>
      </c>
      <c r="B727" s="25" t="s">
        <v>497</v>
      </c>
      <c r="C727" s="25"/>
      <c r="D727" s="25"/>
      <c r="E727" s="26" t="s">
        <v>498</v>
      </c>
      <c r="F727" s="26"/>
      <c r="G727" s="26"/>
      <c r="H727" s="26"/>
      <c r="I727" s="26"/>
      <c r="J727" s="27" t="s">
        <v>2057</v>
      </c>
      <c r="K727" s="27"/>
      <c r="L727" s="27"/>
      <c r="M727" s="27"/>
      <c r="N727" s="28">
        <f>85.6</f>
        <v>85.6</v>
      </c>
      <c r="O727" s="28"/>
      <c r="P727" s="28"/>
      <c r="Q727" s="27" t="s">
        <v>2032</v>
      </c>
      <c r="R727" s="27"/>
      <c r="S727" s="29" t="s">
        <v>2032</v>
      </c>
      <c r="T727" s="29"/>
      <c r="U727" s="29"/>
      <c r="V727" s="29"/>
      <c r="W727" s="30" t="s">
        <v>2032</v>
      </c>
      <c r="X727" s="29" t="s">
        <v>2032</v>
      </c>
      <c r="Y727" s="29"/>
      <c r="Z727" s="29"/>
      <c r="AA727" s="29"/>
      <c r="AB727" s="27" t="s">
        <v>2057</v>
      </c>
      <c r="AC727" s="27"/>
      <c r="AD727" s="27"/>
      <c r="AE727" s="31">
        <f>85.6</f>
        <v>85.6</v>
      </c>
      <c r="AF727" s="31"/>
      <c r="AG727" s="31"/>
    </row>
    <row r="728" spans="1:33" s="1" customFormat="1" ht="18.75" customHeight="1">
      <c r="A728" s="24" t="s">
        <v>499</v>
      </c>
      <c r="B728" s="25" t="s">
        <v>500</v>
      </c>
      <c r="C728" s="25"/>
      <c r="D728" s="25"/>
      <c r="E728" s="26" t="s">
        <v>501</v>
      </c>
      <c r="F728" s="26"/>
      <c r="G728" s="26"/>
      <c r="H728" s="26"/>
      <c r="I728" s="26"/>
      <c r="J728" s="27" t="s">
        <v>2056</v>
      </c>
      <c r="K728" s="27"/>
      <c r="L728" s="27"/>
      <c r="M728" s="27"/>
      <c r="N728" s="28">
        <f>1677</f>
        <v>1677</v>
      </c>
      <c r="O728" s="28"/>
      <c r="P728" s="28"/>
      <c r="Q728" s="27" t="s">
        <v>2032</v>
      </c>
      <c r="R728" s="27"/>
      <c r="S728" s="29" t="s">
        <v>2032</v>
      </c>
      <c r="T728" s="29"/>
      <c r="U728" s="29"/>
      <c r="V728" s="29"/>
      <c r="W728" s="30" t="s">
        <v>2032</v>
      </c>
      <c r="X728" s="29" t="s">
        <v>2032</v>
      </c>
      <c r="Y728" s="29"/>
      <c r="Z728" s="29"/>
      <c r="AA728" s="29"/>
      <c r="AB728" s="27" t="s">
        <v>2056</v>
      </c>
      <c r="AC728" s="27"/>
      <c r="AD728" s="27"/>
      <c r="AE728" s="31">
        <f>1677</f>
        <v>1677</v>
      </c>
      <c r="AF728" s="31"/>
      <c r="AG728" s="31"/>
    </row>
    <row r="729" spans="1:33" s="1" customFormat="1" ht="18.75" customHeight="1">
      <c r="A729" s="24" t="s">
        <v>502</v>
      </c>
      <c r="B729" s="25" t="s">
        <v>2833</v>
      </c>
      <c r="C729" s="25"/>
      <c r="D729" s="25"/>
      <c r="E729" s="26" t="s">
        <v>503</v>
      </c>
      <c r="F729" s="26"/>
      <c r="G729" s="26"/>
      <c r="H729" s="26"/>
      <c r="I729" s="26"/>
      <c r="J729" s="27" t="s">
        <v>2056</v>
      </c>
      <c r="K729" s="27"/>
      <c r="L729" s="27"/>
      <c r="M729" s="27"/>
      <c r="N729" s="28">
        <f>438.38</f>
        <v>438.38</v>
      </c>
      <c r="O729" s="28"/>
      <c r="P729" s="28"/>
      <c r="Q729" s="27" t="s">
        <v>2032</v>
      </c>
      <c r="R729" s="27"/>
      <c r="S729" s="29" t="s">
        <v>2032</v>
      </c>
      <c r="T729" s="29"/>
      <c r="U729" s="29"/>
      <c r="V729" s="29"/>
      <c r="W729" s="30" t="s">
        <v>2032</v>
      </c>
      <c r="X729" s="29" t="s">
        <v>2032</v>
      </c>
      <c r="Y729" s="29"/>
      <c r="Z729" s="29"/>
      <c r="AA729" s="29"/>
      <c r="AB729" s="27" t="s">
        <v>2056</v>
      </c>
      <c r="AC729" s="27"/>
      <c r="AD729" s="27"/>
      <c r="AE729" s="31">
        <f>438.38</f>
        <v>438.38</v>
      </c>
      <c r="AF729" s="31"/>
      <c r="AG729" s="31"/>
    </row>
    <row r="730" spans="1:33" s="1" customFormat="1" ht="18.75" customHeight="1">
      <c r="A730" s="24" t="s">
        <v>504</v>
      </c>
      <c r="B730" s="25" t="s">
        <v>505</v>
      </c>
      <c r="C730" s="25"/>
      <c r="D730" s="25"/>
      <c r="E730" s="26" t="s">
        <v>506</v>
      </c>
      <c r="F730" s="26"/>
      <c r="G730" s="26"/>
      <c r="H730" s="26"/>
      <c r="I730" s="26"/>
      <c r="J730" s="27" t="s">
        <v>2056</v>
      </c>
      <c r="K730" s="27"/>
      <c r="L730" s="27"/>
      <c r="M730" s="27"/>
      <c r="N730" s="28">
        <f>3000</f>
        <v>3000</v>
      </c>
      <c r="O730" s="28"/>
      <c r="P730" s="28"/>
      <c r="Q730" s="27" t="s">
        <v>2032</v>
      </c>
      <c r="R730" s="27"/>
      <c r="S730" s="29" t="s">
        <v>2032</v>
      </c>
      <c r="T730" s="29"/>
      <c r="U730" s="29"/>
      <c r="V730" s="29"/>
      <c r="W730" s="30" t="s">
        <v>2032</v>
      </c>
      <c r="X730" s="29" t="s">
        <v>2032</v>
      </c>
      <c r="Y730" s="29"/>
      <c r="Z730" s="29"/>
      <c r="AA730" s="29"/>
      <c r="AB730" s="27" t="s">
        <v>2056</v>
      </c>
      <c r="AC730" s="27"/>
      <c r="AD730" s="27"/>
      <c r="AE730" s="31">
        <f>3000</f>
        <v>3000</v>
      </c>
      <c r="AF730" s="31"/>
      <c r="AG730" s="31"/>
    </row>
    <row r="731" spans="1:33" s="1" customFormat="1" ht="18.75" customHeight="1">
      <c r="A731" s="24" t="s">
        <v>507</v>
      </c>
      <c r="B731" s="25" t="s">
        <v>508</v>
      </c>
      <c r="C731" s="25"/>
      <c r="D731" s="25"/>
      <c r="E731" s="26" t="s">
        <v>509</v>
      </c>
      <c r="F731" s="26"/>
      <c r="G731" s="26"/>
      <c r="H731" s="26"/>
      <c r="I731" s="26"/>
      <c r="J731" s="27" t="s">
        <v>2056</v>
      </c>
      <c r="K731" s="27"/>
      <c r="L731" s="27"/>
      <c r="M731" s="27"/>
      <c r="N731" s="28">
        <f>73.06</f>
        <v>73.06</v>
      </c>
      <c r="O731" s="28"/>
      <c r="P731" s="28"/>
      <c r="Q731" s="27" t="s">
        <v>2032</v>
      </c>
      <c r="R731" s="27"/>
      <c r="S731" s="29" t="s">
        <v>2032</v>
      </c>
      <c r="T731" s="29"/>
      <c r="U731" s="29"/>
      <c r="V731" s="29"/>
      <c r="W731" s="30" t="s">
        <v>2032</v>
      </c>
      <c r="X731" s="29" t="s">
        <v>2032</v>
      </c>
      <c r="Y731" s="29"/>
      <c r="Z731" s="29"/>
      <c r="AA731" s="29"/>
      <c r="AB731" s="27" t="s">
        <v>2056</v>
      </c>
      <c r="AC731" s="27"/>
      <c r="AD731" s="27"/>
      <c r="AE731" s="31">
        <f>73.06</f>
        <v>73.06</v>
      </c>
      <c r="AF731" s="31"/>
      <c r="AG731" s="31"/>
    </row>
    <row r="732" spans="1:33" s="1" customFormat="1" ht="18.75" customHeight="1">
      <c r="A732" s="24" t="s">
        <v>510</v>
      </c>
      <c r="B732" s="25" t="s">
        <v>511</v>
      </c>
      <c r="C732" s="25"/>
      <c r="D732" s="25"/>
      <c r="E732" s="26" t="s">
        <v>512</v>
      </c>
      <c r="F732" s="26"/>
      <c r="G732" s="26"/>
      <c r="H732" s="26"/>
      <c r="I732" s="26"/>
      <c r="J732" s="27" t="s">
        <v>2056</v>
      </c>
      <c r="K732" s="27"/>
      <c r="L732" s="27"/>
      <c r="M732" s="27"/>
      <c r="N732" s="28">
        <f>73.06</f>
        <v>73.06</v>
      </c>
      <c r="O732" s="28"/>
      <c r="P732" s="28"/>
      <c r="Q732" s="27" t="s">
        <v>2032</v>
      </c>
      <c r="R732" s="27"/>
      <c r="S732" s="29" t="s">
        <v>2032</v>
      </c>
      <c r="T732" s="29"/>
      <c r="U732" s="29"/>
      <c r="V732" s="29"/>
      <c r="W732" s="30" t="s">
        <v>2032</v>
      </c>
      <c r="X732" s="29" t="s">
        <v>2032</v>
      </c>
      <c r="Y732" s="29"/>
      <c r="Z732" s="29"/>
      <c r="AA732" s="29"/>
      <c r="AB732" s="27" t="s">
        <v>2056</v>
      </c>
      <c r="AC732" s="27"/>
      <c r="AD732" s="27"/>
      <c r="AE732" s="31">
        <f>73.06</f>
        <v>73.06</v>
      </c>
      <c r="AF732" s="31"/>
      <c r="AG732" s="31"/>
    </row>
    <row r="733" spans="1:33" s="1" customFormat="1" ht="18.75" customHeight="1">
      <c r="A733" s="24" t="s">
        <v>513</v>
      </c>
      <c r="B733" s="25" t="s">
        <v>514</v>
      </c>
      <c r="C733" s="25"/>
      <c r="D733" s="25"/>
      <c r="E733" s="26" t="s">
        <v>515</v>
      </c>
      <c r="F733" s="26"/>
      <c r="G733" s="26"/>
      <c r="H733" s="26"/>
      <c r="I733" s="26"/>
      <c r="J733" s="27" t="s">
        <v>2063</v>
      </c>
      <c r="K733" s="27"/>
      <c r="L733" s="27"/>
      <c r="M733" s="27"/>
      <c r="N733" s="28">
        <f>584.48</f>
        <v>584.48</v>
      </c>
      <c r="O733" s="28"/>
      <c r="P733" s="28"/>
      <c r="Q733" s="27" t="s">
        <v>2032</v>
      </c>
      <c r="R733" s="27"/>
      <c r="S733" s="29" t="s">
        <v>2032</v>
      </c>
      <c r="T733" s="29"/>
      <c r="U733" s="29"/>
      <c r="V733" s="29"/>
      <c r="W733" s="30" t="s">
        <v>2032</v>
      </c>
      <c r="X733" s="29" t="s">
        <v>2032</v>
      </c>
      <c r="Y733" s="29"/>
      <c r="Z733" s="29"/>
      <c r="AA733" s="29"/>
      <c r="AB733" s="27" t="s">
        <v>2063</v>
      </c>
      <c r="AC733" s="27"/>
      <c r="AD733" s="27"/>
      <c r="AE733" s="31">
        <f>584.48</f>
        <v>584.48</v>
      </c>
      <c r="AF733" s="31"/>
      <c r="AG733" s="31"/>
    </row>
    <row r="734" spans="1:33" s="1" customFormat="1" ht="18.75" customHeight="1">
      <c r="A734" s="24" t="s">
        <v>516</v>
      </c>
      <c r="B734" s="25" t="s">
        <v>517</v>
      </c>
      <c r="C734" s="25"/>
      <c r="D734" s="25"/>
      <c r="E734" s="26" t="s">
        <v>518</v>
      </c>
      <c r="F734" s="26"/>
      <c r="G734" s="26"/>
      <c r="H734" s="26"/>
      <c r="I734" s="26"/>
      <c r="J734" s="27" t="s">
        <v>2056</v>
      </c>
      <c r="K734" s="27"/>
      <c r="L734" s="27"/>
      <c r="M734" s="27"/>
      <c r="N734" s="28">
        <f>146.13</f>
        <v>146.13</v>
      </c>
      <c r="O734" s="28"/>
      <c r="P734" s="28"/>
      <c r="Q734" s="27" t="s">
        <v>2032</v>
      </c>
      <c r="R734" s="27"/>
      <c r="S734" s="29" t="s">
        <v>2032</v>
      </c>
      <c r="T734" s="29"/>
      <c r="U734" s="29"/>
      <c r="V734" s="29"/>
      <c r="W734" s="30" t="s">
        <v>2032</v>
      </c>
      <c r="X734" s="29" t="s">
        <v>2032</v>
      </c>
      <c r="Y734" s="29"/>
      <c r="Z734" s="29"/>
      <c r="AA734" s="29"/>
      <c r="AB734" s="27" t="s">
        <v>2056</v>
      </c>
      <c r="AC734" s="27"/>
      <c r="AD734" s="27"/>
      <c r="AE734" s="31">
        <f>146.13</f>
        <v>146.13</v>
      </c>
      <c r="AF734" s="31"/>
      <c r="AG734" s="31"/>
    </row>
    <row r="735" spans="1:33" s="1" customFormat="1" ht="18.75" customHeight="1">
      <c r="A735" s="24" t="s">
        <v>519</v>
      </c>
      <c r="B735" s="25" t="s">
        <v>520</v>
      </c>
      <c r="C735" s="25"/>
      <c r="D735" s="25"/>
      <c r="E735" s="26" t="s">
        <v>521</v>
      </c>
      <c r="F735" s="26"/>
      <c r="G735" s="26"/>
      <c r="H735" s="26"/>
      <c r="I735" s="26"/>
      <c r="J735" s="27" t="s">
        <v>2056</v>
      </c>
      <c r="K735" s="27"/>
      <c r="L735" s="27"/>
      <c r="M735" s="27"/>
      <c r="N735" s="28">
        <f>146.13</f>
        <v>146.13</v>
      </c>
      <c r="O735" s="28"/>
      <c r="P735" s="28"/>
      <c r="Q735" s="27" t="s">
        <v>2032</v>
      </c>
      <c r="R735" s="27"/>
      <c r="S735" s="29" t="s">
        <v>2032</v>
      </c>
      <c r="T735" s="29"/>
      <c r="U735" s="29"/>
      <c r="V735" s="29"/>
      <c r="W735" s="30" t="s">
        <v>2032</v>
      </c>
      <c r="X735" s="29" t="s">
        <v>2032</v>
      </c>
      <c r="Y735" s="29"/>
      <c r="Z735" s="29"/>
      <c r="AA735" s="29"/>
      <c r="AB735" s="27" t="s">
        <v>2056</v>
      </c>
      <c r="AC735" s="27"/>
      <c r="AD735" s="27"/>
      <c r="AE735" s="31">
        <f>146.13</f>
        <v>146.13</v>
      </c>
      <c r="AF735" s="31"/>
      <c r="AG735" s="31"/>
    </row>
    <row r="736" spans="1:33" s="1" customFormat="1" ht="18.75" customHeight="1">
      <c r="A736" s="24" t="s">
        <v>522</v>
      </c>
      <c r="B736" s="25" t="s">
        <v>523</v>
      </c>
      <c r="C736" s="25"/>
      <c r="D736" s="25"/>
      <c r="E736" s="26" t="s">
        <v>524</v>
      </c>
      <c r="F736" s="26"/>
      <c r="G736" s="26"/>
      <c r="H736" s="26"/>
      <c r="I736" s="26"/>
      <c r="J736" s="27" t="s">
        <v>2065</v>
      </c>
      <c r="K736" s="27"/>
      <c r="L736" s="27"/>
      <c r="M736" s="27"/>
      <c r="N736" s="28">
        <f>2122.2</f>
        <v>2122.2</v>
      </c>
      <c r="O736" s="28"/>
      <c r="P736" s="28"/>
      <c r="Q736" s="27" t="s">
        <v>2032</v>
      </c>
      <c r="R736" s="27"/>
      <c r="S736" s="29" t="s">
        <v>2032</v>
      </c>
      <c r="T736" s="29"/>
      <c r="U736" s="29"/>
      <c r="V736" s="29"/>
      <c r="W736" s="30" t="s">
        <v>2032</v>
      </c>
      <c r="X736" s="29" t="s">
        <v>2032</v>
      </c>
      <c r="Y736" s="29"/>
      <c r="Z736" s="29"/>
      <c r="AA736" s="29"/>
      <c r="AB736" s="27" t="s">
        <v>2065</v>
      </c>
      <c r="AC736" s="27"/>
      <c r="AD736" s="27"/>
      <c r="AE736" s="31">
        <f>2122.2</f>
        <v>2122.2</v>
      </c>
      <c r="AF736" s="31"/>
      <c r="AG736" s="31"/>
    </row>
    <row r="737" spans="1:33" s="1" customFormat="1" ht="18.75" customHeight="1">
      <c r="A737" s="24" t="s">
        <v>525</v>
      </c>
      <c r="B737" s="25" t="s">
        <v>526</v>
      </c>
      <c r="C737" s="25"/>
      <c r="D737" s="25"/>
      <c r="E737" s="26" t="s">
        <v>527</v>
      </c>
      <c r="F737" s="26"/>
      <c r="G737" s="26"/>
      <c r="H737" s="26"/>
      <c r="I737" s="26"/>
      <c r="J737" s="27" t="s">
        <v>2065</v>
      </c>
      <c r="K737" s="27"/>
      <c r="L737" s="27"/>
      <c r="M737" s="27"/>
      <c r="N737" s="28">
        <f>3314.3</f>
        <v>3314.3</v>
      </c>
      <c r="O737" s="28"/>
      <c r="P737" s="28"/>
      <c r="Q737" s="27" t="s">
        <v>2032</v>
      </c>
      <c r="R737" s="27"/>
      <c r="S737" s="29" t="s">
        <v>2032</v>
      </c>
      <c r="T737" s="29"/>
      <c r="U737" s="29"/>
      <c r="V737" s="29"/>
      <c r="W737" s="30" t="s">
        <v>2032</v>
      </c>
      <c r="X737" s="29" t="s">
        <v>2032</v>
      </c>
      <c r="Y737" s="29"/>
      <c r="Z737" s="29"/>
      <c r="AA737" s="29"/>
      <c r="AB737" s="27" t="s">
        <v>2065</v>
      </c>
      <c r="AC737" s="27"/>
      <c r="AD737" s="27"/>
      <c r="AE737" s="31">
        <f>3314.3</f>
        <v>3314.3</v>
      </c>
      <c r="AF737" s="31"/>
      <c r="AG737" s="31"/>
    </row>
    <row r="738" spans="1:33" s="1" customFormat="1" ht="46.5" customHeight="1">
      <c r="A738" s="24" t="s">
        <v>528</v>
      </c>
      <c r="B738" s="25" t="s">
        <v>529</v>
      </c>
      <c r="C738" s="25"/>
      <c r="D738" s="25"/>
      <c r="E738" s="26" t="s">
        <v>530</v>
      </c>
      <c r="F738" s="26"/>
      <c r="G738" s="26"/>
      <c r="H738" s="26"/>
      <c r="I738" s="26"/>
      <c r="J738" s="27" t="s">
        <v>2056</v>
      </c>
      <c r="K738" s="27"/>
      <c r="L738" s="27"/>
      <c r="M738" s="27"/>
      <c r="N738" s="28">
        <f>2389.5</f>
        <v>2389.5</v>
      </c>
      <c r="O738" s="28"/>
      <c r="P738" s="28"/>
      <c r="Q738" s="27" t="s">
        <v>2032</v>
      </c>
      <c r="R738" s="27"/>
      <c r="S738" s="29" t="s">
        <v>2032</v>
      </c>
      <c r="T738" s="29"/>
      <c r="U738" s="29"/>
      <c r="V738" s="29"/>
      <c r="W738" s="30" t="s">
        <v>2032</v>
      </c>
      <c r="X738" s="29" t="s">
        <v>2032</v>
      </c>
      <c r="Y738" s="29"/>
      <c r="Z738" s="29"/>
      <c r="AA738" s="29"/>
      <c r="AB738" s="27" t="s">
        <v>2056</v>
      </c>
      <c r="AC738" s="27"/>
      <c r="AD738" s="27"/>
      <c r="AE738" s="31">
        <f>2389.5</f>
        <v>2389.5</v>
      </c>
      <c r="AF738" s="31"/>
      <c r="AG738" s="31"/>
    </row>
    <row r="739" spans="1:33" s="1" customFormat="1" ht="33" customHeight="1">
      <c r="A739" s="24" t="s">
        <v>531</v>
      </c>
      <c r="B739" s="25" t="s">
        <v>532</v>
      </c>
      <c r="C739" s="25"/>
      <c r="D739" s="25"/>
      <c r="E739" s="26" t="s">
        <v>533</v>
      </c>
      <c r="F739" s="26"/>
      <c r="G739" s="26"/>
      <c r="H739" s="26"/>
      <c r="I739" s="26"/>
      <c r="J739" s="27" t="s">
        <v>2057</v>
      </c>
      <c r="K739" s="27"/>
      <c r="L739" s="27"/>
      <c r="M739" s="27"/>
      <c r="N739" s="28">
        <f>6000</f>
        <v>6000</v>
      </c>
      <c r="O739" s="28"/>
      <c r="P739" s="28"/>
      <c r="Q739" s="27" t="s">
        <v>2032</v>
      </c>
      <c r="R739" s="27"/>
      <c r="S739" s="29" t="s">
        <v>2032</v>
      </c>
      <c r="T739" s="29"/>
      <c r="U739" s="29"/>
      <c r="V739" s="29"/>
      <c r="W739" s="30" t="s">
        <v>2032</v>
      </c>
      <c r="X739" s="29" t="s">
        <v>2032</v>
      </c>
      <c r="Y739" s="29"/>
      <c r="Z739" s="29"/>
      <c r="AA739" s="29"/>
      <c r="AB739" s="27" t="s">
        <v>2057</v>
      </c>
      <c r="AC739" s="27"/>
      <c r="AD739" s="27"/>
      <c r="AE739" s="31">
        <f>6000</f>
        <v>6000</v>
      </c>
      <c r="AF739" s="31"/>
      <c r="AG739" s="31"/>
    </row>
    <row r="740" spans="1:33" s="1" customFormat="1" ht="33" customHeight="1">
      <c r="A740" s="24" t="s">
        <v>534</v>
      </c>
      <c r="B740" s="25" t="s">
        <v>535</v>
      </c>
      <c r="C740" s="25"/>
      <c r="D740" s="25"/>
      <c r="E740" s="26" t="s">
        <v>536</v>
      </c>
      <c r="F740" s="26"/>
      <c r="G740" s="26"/>
      <c r="H740" s="26"/>
      <c r="I740" s="26"/>
      <c r="J740" s="27" t="s">
        <v>2065</v>
      </c>
      <c r="K740" s="27"/>
      <c r="L740" s="27"/>
      <c r="M740" s="27"/>
      <c r="N740" s="28">
        <f>1088</f>
        <v>1088</v>
      </c>
      <c r="O740" s="28"/>
      <c r="P740" s="28"/>
      <c r="Q740" s="27" t="s">
        <v>2032</v>
      </c>
      <c r="R740" s="27"/>
      <c r="S740" s="29" t="s">
        <v>2032</v>
      </c>
      <c r="T740" s="29"/>
      <c r="U740" s="29"/>
      <c r="V740" s="29"/>
      <c r="W740" s="30" t="s">
        <v>2032</v>
      </c>
      <c r="X740" s="29" t="s">
        <v>2032</v>
      </c>
      <c r="Y740" s="29"/>
      <c r="Z740" s="29"/>
      <c r="AA740" s="29"/>
      <c r="AB740" s="27" t="s">
        <v>2065</v>
      </c>
      <c r="AC740" s="27"/>
      <c r="AD740" s="27"/>
      <c r="AE740" s="31">
        <f>1088</f>
        <v>1088</v>
      </c>
      <c r="AF740" s="31"/>
      <c r="AG740" s="31"/>
    </row>
    <row r="741" spans="1:33" s="1" customFormat="1" ht="33" customHeight="1">
      <c r="A741" s="24" t="s">
        <v>537</v>
      </c>
      <c r="B741" s="25" t="s">
        <v>538</v>
      </c>
      <c r="C741" s="25"/>
      <c r="D741" s="25"/>
      <c r="E741" s="26" t="s">
        <v>539</v>
      </c>
      <c r="F741" s="26"/>
      <c r="G741" s="26"/>
      <c r="H741" s="26"/>
      <c r="I741" s="26"/>
      <c r="J741" s="27" t="s">
        <v>2065</v>
      </c>
      <c r="K741" s="27"/>
      <c r="L741" s="27"/>
      <c r="M741" s="27"/>
      <c r="N741" s="28">
        <f>1152</f>
        <v>1152</v>
      </c>
      <c r="O741" s="28"/>
      <c r="P741" s="28"/>
      <c r="Q741" s="27" t="s">
        <v>2032</v>
      </c>
      <c r="R741" s="27"/>
      <c r="S741" s="29" t="s">
        <v>2032</v>
      </c>
      <c r="T741" s="29"/>
      <c r="U741" s="29"/>
      <c r="V741" s="29"/>
      <c r="W741" s="30" t="s">
        <v>2032</v>
      </c>
      <c r="X741" s="29" t="s">
        <v>2032</v>
      </c>
      <c r="Y741" s="29"/>
      <c r="Z741" s="29"/>
      <c r="AA741" s="29"/>
      <c r="AB741" s="27" t="s">
        <v>2065</v>
      </c>
      <c r="AC741" s="27"/>
      <c r="AD741" s="27"/>
      <c r="AE741" s="31">
        <f>1152</f>
        <v>1152</v>
      </c>
      <c r="AF741" s="31"/>
      <c r="AG741" s="31"/>
    </row>
    <row r="742" spans="1:33" s="1" customFormat="1" ht="33" customHeight="1">
      <c r="A742" s="24" t="s">
        <v>540</v>
      </c>
      <c r="B742" s="25" t="s">
        <v>541</v>
      </c>
      <c r="C742" s="25"/>
      <c r="D742" s="25"/>
      <c r="E742" s="26" t="s">
        <v>542</v>
      </c>
      <c r="F742" s="26"/>
      <c r="G742" s="26"/>
      <c r="H742" s="26"/>
      <c r="I742" s="26"/>
      <c r="J742" s="27" t="s">
        <v>2065</v>
      </c>
      <c r="K742" s="27"/>
      <c r="L742" s="27"/>
      <c r="M742" s="27"/>
      <c r="N742" s="28">
        <f>1280</f>
        <v>1280</v>
      </c>
      <c r="O742" s="28"/>
      <c r="P742" s="28"/>
      <c r="Q742" s="27" t="s">
        <v>2032</v>
      </c>
      <c r="R742" s="27"/>
      <c r="S742" s="29" t="s">
        <v>2032</v>
      </c>
      <c r="T742" s="29"/>
      <c r="U742" s="29"/>
      <c r="V742" s="29"/>
      <c r="W742" s="30" t="s">
        <v>2032</v>
      </c>
      <c r="X742" s="29" t="s">
        <v>2032</v>
      </c>
      <c r="Y742" s="29"/>
      <c r="Z742" s="29"/>
      <c r="AA742" s="29"/>
      <c r="AB742" s="27" t="s">
        <v>2065</v>
      </c>
      <c r="AC742" s="27"/>
      <c r="AD742" s="27"/>
      <c r="AE742" s="31">
        <f>1280</f>
        <v>1280</v>
      </c>
      <c r="AF742" s="31"/>
      <c r="AG742" s="31"/>
    </row>
    <row r="743" spans="1:33" s="1" customFormat="1" ht="18.75" customHeight="1">
      <c r="A743" s="24" t="s">
        <v>543</v>
      </c>
      <c r="B743" s="25" t="s">
        <v>544</v>
      </c>
      <c r="C743" s="25"/>
      <c r="D743" s="25"/>
      <c r="E743" s="26" t="s">
        <v>545</v>
      </c>
      <c r="F743" s="26"/>
      <c r="G743" s="26"/>
      <c r="H743" s="26"/>
      <c r="I743" s="26"/>
      <c r="J743" s="27" t="s">
        <v>2058</v>
      </c>
      <c r="K743" s="27"/>
      <c r="L743" s="27"/>
      <c r="M743" s="27"/>
      <c r="N743" s="28">
        <f>219.18</f>
        <v>219.18</v>
      </c>
      <c r="O743" s="28"/>
      <c r="P743" s="28"/>
      <c r="Q743" s="27" t="s">
        <v>2032</v>
      </c>
      <c r="R743" s="27"/>
      <c r="S743" s="29" t="s">
        <v>2032</v>
      </c>
      <c r="T743" s="29"/>
      <c r="U743" s="29"/>
      <c r="V743" s="29"/>
      <c r="W743" s="30" t="s">
        <v>2032</v>
      </c>
      <c r="X743" s="29" t="s">
        <v>2032</v>
      </c>
      <c r="Y743" s="29"/>
      <c r="Z743" s="29"/>
      <c r="AA743" s="29"/>
      <c r="AB743" s="27" t="s">
        <v>2058</v>
      </c>
      <c r="AC743" s="27"/>
      <c r="AD743" s="27"/>
      <c r="AE743" s="31">
        <f>219.18</f>
        <v>219.18</v>
      </c>
      <c r="AF743" s="31"/>
      <c r="AG743" s="31"/>
    </row>
    <row r="744" spans="1:33" s="1" customFormat="1" ht="33" customHeight="1">
      <c r="A744" s="24" t="s">
        <v>546</v>
      </c>
      <c r="B744" s="25" t="s">
        <v>547</v>
      </c>
      <c r="C744" s="25"/>
      <c r="D744" s="25"/>
      <c r="E744" s="26" t="s">
        <v>548</v>
      </c>
      <c r="F744" s="26"/>
      <c r="G744" s="26"/>
      <c r="H744" s="26"/>
      <c r="I744" s="26"/>
      <c r="J744" s="27" t="s">
        <v>2057</v>
      </c>
      <c r="K744" s="27"/>
      <c r="L744" s="27"/>
      <c r="M744" s="27"/>
      <c r="N744" s="28">
        <f>60</f>
        <v>60</v>
      </c>
      <c r="O744" s="28"/>
      <c r="P744" s="28"/>
      <c r="Q744" s="27" t="s">
        <v>2032</v>
      </c>
      <c r="R744" s="27"/>
      <c r="S744" s="29" t="s">
        <v>2032</v>
      </c>
      <c r="T744" s="29"/>
      <c r="U744" s="29"/>
      <c r="V744" s="29"/>
      <c r="W744" s="30" t="s">
        <v>2032</v>
      </c>
      <c r="X744" s="29" t="s">
        <v>2032</v>
      </c>
      <c r="Y744" s="29"/>
      <c r="Z744" s="29"/>
      <c r="AA744" s="29"/>
      <c r="AB744" s="27" t="s">
        <v>2057</v>
      </c>
      <c r="AC744" s="27"/>
      <c r="AD744" s="27"/>
      <c r="AE744" s="31">
        <f>60</f>
        <v>60</v>
      </c>
      <c r="AF744" s="31"/>
      <c r="AG744" s="31"/>
    </row>
    <row r="745" spans="1:33" s="1" customFormat="1" ht="18.75" customHeight="1">
      <c r="A745" s="24" t="s">
        <v>549</v>
      </c>
      <c r="B745" s="25" t="s">
        <v>550</v>
      </c>
      <c r="C745" s="25"/>
      <c r="D745" s="25"/>
      <c r="E745" s="26" t="s">
        <v>551</v>
      </c>
      <c r="F745" s="26"/>
      <c r="G745" s="26"/>
      <c r="H745" s="26"/>
      <c r="I745" s="26"/>
      <c r="J745" s="27" t="s">
        <v>2056</v>
      </c>
      <c r="K745" s="27"/>
      <c r="L745" s="27"/>
      <c r="M745" s="27"/>
      <c r="N745" s="28">
        <f>73.06</f>
        <v>73.06</v>
      </c>
      <c r="O745" s="28"/>
      <c r="P745" s="28"/>
      <c r="Q745" s="27" t="s">
        <v>2032</v>
      </c>
      <c r="R745" s="27"/>
      <c r="S745" s="29" t="s">
        <v>2032</v>
      </c>
      <c r="T745" s="29"/>
      <c r="U745" s="29"/>
      <c r="V745" s="29"/>
      <c r="W745" s="30" t="s">
        <v>2032</v>
      </c>
      <c r="X745" s="29" t="s">
        <v>2032</v>
      </c>
      <c r="Y745" s="29"/>
      <c r="Z745" s="29"/>
      <c r="AA745" s="29"/>
      <c r="AB745" s="27" t="s">
        <v>2056</v>
      </c>
      <c r="AC745" s="27"/>
      <c r="AD745" s="27"/>
      <c r="AE745" s="31">
        <f>73.06</f>
        <v>73.06</v>
      </c>
      <c r="AF745" s="31"/>
      <c r="AG745" s="31"/>
    </row>
    <row r="746" spans="1:33" s="1" customFormat="1" ht="18.75" customHeight="1">
      <c r="A746" s="24" t="s">
        <v>552</v>
      </c>
      <c r="B746" s="25" t="s">
        <v>553</v>
      </c>
      <c r="C746" s="25"/>
      <c r="D746" s="25"/>
      <c r="E746" s="26" t="s">
        <v>554</v>
      </c>
      <c r="F746" s="26"/>
      <c r="G746" s="26"/>
      <c r="H746" s="26"/>
      <c r="I746" s="26"/>
      <c r="J746" s="27" t="s">
        <v>2056</v>
      </c>
      <c r="K746" s="27"/>
      <c r="L746" s="27"/>
      <c r="M746" s="27"/>
      <c r="N746" s="28">
        <f>2142</f>
        <v>2142</v>
      </c>
      <c r="O746" s="28"/>
      <c r="P746" s="28"/>
      <c r="Q746" s="27" t="s">
        <v>2032</v>
      </c>
      <c r="R746" s="27"/>
      <c r="S746" s="29" t="s">
        <v>2032</v>
      </c>
      <c r="T746" s="29"/>
      <c r="U746" s="29"/>
      <c r="V746" s="29"/>
      <c r="W746" s="30" t="s">
        <v>2032</v>
      </c>
      <c r="X746" s="29" t="s">
        <v>2032</v>
      </c>
      <c r="Y746" s="29"/>
      <c r="Z746" s="29"/>
      <c r="AA746" s="29"/>
      <c r="AB746" s="27" t="s">
        <v>2056</v>
      </c>
      <c r="AC746" s="27"/>
      <c r="AD746" s="27"/>
      <c r="AE746" s="31">
        <f>2142</f>
        <v>2142</v>
      </c>
      <c r="AF746" s="31"/>
      <c r="AG746" s="31"/>
    </row>
    <row r="747" spans="1:33" s="1" customFormat="1" ht="18.75" customHeight="1">
      <c r="A747" s="24" t="s">
        <v>555</v>
      </c>
      <c r="B747" s="25" t="s">
        <v>2594</v>
      </c>
      <c r="C747" s="25"/>
      <c r="D747" s="25"/>
      <c r="E747" s="26" t="s">
        <v>556</v>
      </c>
      <c r="F747" s="26"/>
      <c r="G747" s="26"/>
      <c r="H747" s="26"/>
      <c r="I747" s="26"/>
      <c r="J747" s="27" t="s">
        <v>2061</v>
      </c>
      <c r="K747" s="27"/>
      <c r="L747" s="27"/>
      <c r="M747" s="27"/>
      <c r="N747" s="28">
        <f>2034</f>
        <v>2034</v>
      </c>
      <c r="O747" s="28"/>
      <c r="P747" s="28"/>
      <c r="Q747" s="27" t="s">
        <v>2032</v>
      </c>
      <c r="R747" s="27"/>
      <c r="S747" s="29" t="s">
        <v>2032</v>
      </c>
      <c r="T747" s="29"/>
      <c r="U747" s="29"/>
      <c r="V747" s="29"/>
      <c r="W747" s="30" t="s">
        <v>2032</v>
      </c>
      <c r="X747" s="29" t="s">
        <v>2032</v>
      </c>
      <c r="Y747" s="29"/>
      <c r="Z747" s="29"/>
      <c r="AA747" s="29"/>
      <c r="AB747" s="27" t="s">
        <v>2061</v>
      </c>
      <c r="AC747" s="27"/>
      <c r="AD747" s="27"/>
      <c r="AE747" s="31">
        <f>2034</f>
        <v>2034</v>
      </c>
      <c r="AF747" s="31"/>
      <c r="AG747" s="31"/>
    </row>
    <row r="748" spans="1:33" s="1" customFormat="1" ht="33" customHeight="1">
      <c r="A748" s="24" t="s">
        <v>557</v>
      </c>
      <c r="B748" s="25" t="s">
        <v>2498</v>
      </c>
      <c r="C748" s="25"/>
      <c r="D748" s="25"/>
      <c r="E748" s="26" t="s">
        <v>558</v>
      </c>
      <c r="F748" s="26"/>
      <c r="G748" s="26"/>
      <c r="H748" s="26"/>
      <c r="I748" s="26"/>
      <c r="J748" s="27" t="s">
        <v>2056</v>
      </c>
      <c r="K748" s="27"/>
      <c r="L748" s="27"/>
      <c r="M748" s="27"/>
      <c r="N748" s="28">
        <f>348</f>
        <v>348</v>
      </c>
      <c r="O748" s="28"/>
      <c r="P748" s="28"/>
      <c r="Q748" s="27" t="s">
        <v>2032</v>
      </c>
      <c r="R748" s="27"/>
      <c r="S748" s="29" t="s">
        <v>2032</v>
      </c>
      <c r="T748" s="29"/>
      <c r="U748" s="29"/>
      <c r="V748" s="29"/>
      <c r="W748" s="30" t="s">
        <v>2032</v>
      </c>
      <c r="X748" s="29" t="s">
        <v>2032</v>
      </c>
      <c r="Y748" s="29"/>
      <c r="Z748" s="29"/>
      <c r="AA748" s="29"/>
      <c r="AB748" s="27" t="s">
        <v>2056</v>
      </c>
      <c r="AC748" s="27"/>
      <c r="AD748" s="27"/>
      <c r="AE748" s="31">
        <f>348</f>
        <v>348</v>
      </c>
      <c r="AF748" s="31"/>
      <c r="AG748" s="31"/>
    </row>
    <row r="749" spans="1:33" s="1" customFormat="1" ht="18.75" customHeight="1">
      <c r="A749" s="24" t="s">
        <v>559</v>
      </c>
      <c r="B749" s="25" t="s">
        <v>560</v>
      </c>
      <c r="C749" s="25"/>
      <c r="D749" s="25"/>
      <c r="E749" s="26" t="s">
        <v>561</v>
      </c>
      <c r="F749" s="26"/>
      <c r="G749" s="26"/>
      <c r="H749" s="26"/>
      <c r="I749" s="26"/>
      <c r="J749" s="27" t="s">
        <v>2056</v>
      </c>
      <c r="K749" s="27"/>
      <c r="L749" s="27"/>
      <c r="M749" s="27"/>
      <c r="N749" s="28">
        <f>365.8</f>
        <v>365.8</v>
      </c>
      <c r="O749" s="28"/>
      <c r="P749" s="28"/>
      <c r="Q749" s="27" t="s">
        <v>2032</v>
      </c>
      <c r="R749" s="27"/>
      <c r="S749" s="29" t="s">
        <v>2032</v>
      </c>
      <c r="T749" s="29"/>
      <c r="U749" s="29"/>
      <c r="V749" s="29"/>
      <c r="W749" s="30" t="s">
        <v>2032</v>
      </c>
      <c r="X749" s="29" t="s">
        <v>2032</v>
      </c>
      <c r="Y749" s="29"/>
      <c r="Z749" s="29"/>
      <c r="AA749" s="29"/>
      <c r="AB749" s="27" t="s">
        <v>2056</v>
      </c>
      <c r="AC749" s="27"/>
      <c r="AD749" s="27"/>
      <c r="AE749" s="31">
        <f>365.8</f>
        <v>365.8</v>
      </c>
      <c r="AF749" s="31"/>
      <c r="AG749" s="31"/>
    </row>
    <row r="750" spans="1:33" s="1" customFormat="1" ht="18.75" customHeight="1">
      <c r="A750" s="24" t="s">
        <v>562</v>
      </c>
      <c r="B750" s="25" t="s">
        <v>563</v>
      </c>
      <c r="C750" s="25"/>
      <c r="D750" s="25"/>
      <c r="E750" s="26" t="s">
        <v>564</v>
      </c>
      <c r="F750" s="26"/>
      <c r="G750" s="26"/>
      <c r="H750" s="26"/>
      <c r="I750" s="26"/>
      <c r="J750" s="27" t="s">
        <v>2063</v>
      </c>
      <c r="K750" s="27"/>
      <c r="L750" s="27"/>
      <c r="M750" s="27"/>
      <c r="N750" s="28">
        <f>3634.4</f>
        <v>3634.4</v>
      </c>
      <c r="O750" s="28"/>
      <c r="P750" s="28"/>
      <c r="Q750" s="27" t="s">
        <v>2032</v>
      </c>
      <c r="R750" s="27"/>
      <c r="S750" s="29" t="s">
        <v>2032</v>
      </c>
      <c r="T750" s="29"/>
      <c r="U750" s="29"/>
      <c r="V750" s="29"/>
      <c r="W750" s="30" t="s">
        <v>2032</v>
      </c>
      <c r="X750" s="29" t="s">
        <v>2032</v>
      </c>
      <c r="Y750" s="29"/>
      <c r="Z750" s="29"/>
      <c r="AA750" s="29"/>
      <c r="AB750" s="27" t="s">
        <v>2063</v>
      </c>
      <c r="AC750" s="27"/>
      <c r="AD750" s="27"/>
      <c r="AE750" s="31">
        <f>3634.4</f>
        <v>3634.4</v>
      </c>
      <c r="AF750" s="31"/>
      <c r="AG750" s="31"/>
    </row>
    <row r="751" spans="1:33" s="1" customFormat="1" ht="33" customHeight="1">
      <c r="A751" s="24" t="s">
        <v>565</v>
      </c>
      <c r="B751" s="25" t="s">
        <v>2495</v>
      </c>
      <c r="C751" s="25"/>
      <c r="D751" s="25"/>
      <c r="E751" s="26" t="s">
        <v>566</v>
      </c>
      <c r="F751" s="26"/>
      <c r="G751" s="26"/>
      <c r="H751" s="26"/>
      <c r="I751" s="26"/>
      <c r="J751" s="27" t="s">
        <v>2058</v>
      </c>
      <c r="K751" s="27"/>
      <c r="L751" s="27"/>
      <c r="M751" s="27"/>
      <c r="N751" s="28">
        <f>1044</f>
        <v>1044</v>
      </c>
      <c r="O751" s="28"/>
      <c r="P751" s="28"/>
      <c r="Q751" s="27" t="s">
        <v>2032</v>
      </c>
      <c r="R751" s="27"/>
      <c r="S751" s="29" t="s">
        <v>2032</v>
      </c>
      <c r="T751" s="29"/>
      <c r="U751" s="29"/>
      <c r="V751" s="29"/>
      <c r="W751" s="30" t="s">
        <v>2032</v>
      </c>
      <c r="X751" s="29" t="s">
        <v>2032</v>
      </c>
      <c r="Y751" s="29"/>
      <c r="Z751" s="29"/>
      <c r="AA751" s="29"/>
      <c r="AB751" s="27" t="s">
        <v>2058</v>
      </c>
      <c r="AC751" s="27"/>
      <c r="AD751" s="27"/>
      <c r="AE751" s="31">
        <f>1044</f>
        <v>1044</v>
      </c>
      <c r="AF751" s="31"/>
      <c r="AG751" s="31"/>
    </row>
    <row r="752" spans="1:33" s="1" customFormat="1" ht="18.75" customHeight="1">
      <c r="A752" s="24" t="s">
        <v>567</v>
      </c>
      <c r="B752" s="25" t="s">
        <v>568</v>
      </c>
      <c r="C752" s="25"/>
      <c r="D752" s="25"/>
      <c r="E752" s="26" t="s">
        <v>569</v>
      </c>
      <c r="F752" s="26"/>
      <c r="G752" s="26"/>
      <c r="H752" s="26"/>
      <c r="I752" s="26"/>
      <c r="J752" s="27" t="s">
        <v>2059</v>
      </c>
      <c r="K752" s="27"/>
      <c r="L752" s="27"/>
      <c r="M752" s="27"/>
      <c r="N752" s="28">
        <f>1211.76</f>
        <v>1211.76</v>
      </c>
      <c r="O752" s="28"/>
      <c r="P752" s="28"/>
      <c r="Q752" s="27" t="s">
        <v>2032</v>
      </c>
      <c r="R752" s="27"/>
      <c r="S752" s="29" t="s">
        <v>2032</v>
      </c>
      <c r="T752" s="29"/>
      <c r="U752" s="29"/>
      <c r="V752" s="29"/>
      <c r="W752" s="30" t="s">
        <v>2032</v>
      </c>
      <c r="X752" s="29" t="s">
        <v>2032</v>
      </c>
      <c r="Y752" s="29"/>
      <c r="Z752" s="29"/>
      <c r="AA752" s="29"/>
      <c r="AB752" s="27" t="s">
        <v>2059</v>
      </c>
      <c r="AC752" s="27"/>
      <c r="AD752" s="27"/>
      <c r="AE752" s="31">
        <f>1211.76</f>
        <v>1211.76</v>
      </c>
      <c r="AF752" s="31"/>
      <c r="AG752" s="31"/>
    </row>
    <row r="753" spans="1:33" s="1" customFormat="1" ht="18.75" customHeight="1">
      <c r="A753" s="24" t="s">
        <v>570</v>
      </c>
      <c r="B753" s="25" t="s">
        <v>571</v>
      </c>
      <c r="C753" s="25"/>
      <c r="D753" s="25"/>
      <c r="E753" s="26" t="s">
        <v>572</v>
      </c>
      <c r="F753" s="26"/>
      <c r="G753" s="26"/>
      <c r="H753" s="26"/>
      <c r="I753" s="26"/>
      <c r="J753" s="27" t="s">
        <v>2056</v>
      </c>
      <c r="K753" s="27"/>
      <c r="L753" s="27"/>
      <c r="M753" s="27"/>
      <c r="N753" s="28">
        <f>146.13</f>
        <v>146.13</v>
      </c>
      <c r="O753" s="28"/>
      <c r="P753" s="28"/>
      <c r="Q753" s="27" t="s">
        <v>2032</v>
      </c>
      <c r="R753" s="27"/>
      <c r="S753" s="29" t="s">
        <v>2032</v>
      </c>
      <c r="T753" s="29"/>
      <c r="U753" s="29"/>
      <c r="V753" s="29"/>
      <c r="W753" s="30" t="s">
        <v>2032</v>
      </c>
      <c r="X753" s="29" t="s">
        <v>2032</v>
      </c>
      <c r="Y753" s="29"/>
      <c r="Z753" s="29"/>
      <c r="AA753" s="29"/>
      <c r="AB753" s="27" t="s">
        <v>2056</v>
      </c>
      <c r="AC753" s="27"/>
      <c r="AD753" s="27"/>
      <c r="AE753" s="31">
        <f>146.13</f>
        <v>146.13</v>
      </c>
      <c r="AF753" s="31"/>
      <c r="AG753" s="31"/>
    </row>
    <row r="754" spans="1:33" s="1" customFormat="1" ht="18.75" customHeight="1">
      <c r="A754" s="24" t="s">
        <v>573</v>
      </c>
      <c r="B754" s="25" t="s">
        <v>574</v>
      </c>
      <c r="C754" s="25"/>
      <c r="D754" s="25"/>
      <c r="E754" s="26" t="s">
        <v>575</v>
      </c>
      <c r="F754" s="26"/>
      <c r="G754" s="26"/>
      <c r="H754" s="26"/>
      <c r="I754" s="26"/>
      <c r="J754" s="27" t="s">
        <v>2057</v>
      </c>
      <c r="K754" s="27"/>
      <c r="L754" s="27"/>
      <c r="M754" s="27"/>
      <c r="N754" s="28">
        <f>584.5</f>
        <v>584.5</v>
      </c>
      <c r="O754" s="28"/>
      <c r="P754" s="28"/>
      <c r="Q754" s="27" t="s">
        <v>2032</v>
      </c>
      <c r="R754" s="27"/>
      <c r="S754" s="29" t="s">
        <v>2032</v>
      </c>
      <c r="T754" s="29"/>
      <c r="U754" s="29"/>
      <c r="V754" s="29"/>
      <c r="W754" s="30" t="s">
        <v>2032</v>
      </c>
      <c r="X754" s="29" t="s">
        <v>2032</v>
      </c>
      <c r="Y754" s="29"/>
      <c r="Z754" s="29"/>
      <c r="AA754" s="29"/>
      <c r="AB754" s="27" t="s">
        <v>2057</v>
      </c>
      <c r="AC754" s="27"/>
      <c r="AD754" s="27"/>
      <c r="AE754" s="31">
        <f>584.5</f>
        <v>584.5</v>
      </c>
      <c r="AF754" s="31"/>
      <c r="AG754" s="31"/>
    </row>
    <row r="755" spans="1:33" s="1" customFormat="1" ht="33" customHeight="1">
      <c r="A755" s="24" t="s">
        <v>576</v>
      </c>
      <c r="B755" s="25" t="s">
        <v>577</v>
      </c>
      <c r="C755" s="25"/>
      <c r="D755" s="25"/>
      <c r="E755" s="26" t="s">
        <v>578</v>
      </c>
      <c r="F755" s="26"/>
      <c r="G755" s="26"/>
      <c r="H755" s="26"/>
      <c r="I755" s="26"/>
      <c r="J755" s="27" t="s">
        <v>2056</v>
      </c>
      <c r="K755" s="27"/>
      <c r="L755" s="27"/>
      <c r="M755" s="27"/>
      <c r="N755" s="28">
        <f>73.06</f>
        <v>73.06</v>
      </c>
      <c r="O755" s="28"/>
      <c r="P755" s="28"/>
      <c r="Q755" s="27" t="s">
        <v>2032</v>
      </c>
      <c r="R755" s="27"/>
      <c r="S755" s="29" t="s">
        <v>2032</v>
      </c>
      <c r="T755" s="29"/>
      <c r="U755" s="29"/>
      <c r="V755" s="29"/>
      <c r="W755" s="30" t="s">
        <v>2032</v>
      </c>
      <c r="X755" s="29" t="s">
        <v>2032</v>
      </c>
      <c r="Y755" s="29"/>
      <c r="Z755" s="29"/>
      <c r="AA755" s="29"/>
      <c r="AB755" s="27" t="s">
        <v>2056</v>
      </c>
      <c r="AC755" s="27"/>
      <c r="AD755" s="27"/>
      <c r="AE755" s="31">
        <f>73.06</f>
        <v>73.06</v>
      </c>
      <c r="AF755" s="31"/>
      <c r="AG755" s="31"/>
    </row>
    <row r="756" spans="1:33" s="1" customFormat="1" ht="33" customHeight="1">
      <c r="A756" s="24" t="s">
        <v>579</v>
      </c>
      <c r="B756" s="25" t="s">
        <v>580</v>
      </c>
      <c r="C756" s="25"/>
      <c r="D756" s="25"/>
      <c r="E756" s="26" t="s">
        <v>581</v>
      </c>
      <c r="F756" s="26"/>
      <c r="G756" s="26"/>
      <c r="H756" s="26"/>
      <c r="I756" s="26"/>
      <c r="J756" s="27" t="s">
        <v>2056</v>
      </c>
      <c r="K756" s="27"/>
      <c r="L756" s="27"/>
      <c r="M756" s="27"/>
      <c r="N756" s="28">
        <f>73.06</f>
        <v>73.06</v>
      </c>
      <c r="O756" s="28"/>
      <c r="P756" s="28"/>
      <c r="Q756" s="27" t="s">
        <v>2032</v>
      </c>
      <c r="R756" s="27"/>
      <c r="S756" s="29" t="s">
        <v>2032</v>
      </c>
      <c r="T756" s="29"/>
      <c r="U756" s="29"/>
      <c r="V756" s="29"/>
      <c r="W756" s="30" t="s">
        <v>2032</v>
      </c>
      <c r="X756" s="29" t="s">
        <v>2032</v>
      </c>
      <c r="Y756" s="29"/>
      <c r="Z756" s="29"/>
      <c r="AA756" s="29"/>
      <c r="AB756" s="27" t="s">
        <v>2056</v>
      </c>
      <c r="AC756" s="27"/>
      <c r="AD756" s="27"/>
      <c r="AE756" s="31">
        <f>73.06</f>
        <v>73.06</v>
      </c>
      <c r="AF756" s="31"/>
      <c r="AG756" s="31"/>
    </row>
    <row r="757" spans="1:33" s="1" customFormat="1" ht="18.75" customHeight="1">
      <c r="A757" s="24" t="s">
        <v>582</v>
      </c>
      <c r="B757" s="25" t="s">
        <v>583</v>
      </c>
      <c r="C757" s="25"/>
      <c r="D757" s="25"/>
      <c r="E757" s="26" t="s">
        <v>584</v>
      </c>
      <c r="F757" s="26"/>
      <c r="G757" s="26"/>
      <c r="H757" s="26"/>
      <c r="I757" s="26"/>
      <c r="J757" s="27" t="s">
        <v>2056</v>
      </c>
      <c r="K757" s="27"/>
      <c r="L757" s="27"/>
      <c r="M757" s="27"/>
      <c r="N757" s="28">
        <f>657.57</f>
        <v>657.57</v>
      </c>
      <c r="O757" s="28"/>
      <c r="P757" s="28"/>
      <c r="Q757" s="27" t="s">
        <v>2032</v>
      </c>
      <c r="R757" s="27"/>
      <c r="S757" s="29" t="s">
        <v>2032</v>
      </c>
      <c r="T757" s="29"/>
      <c r="U757" s="29"/>
      <c r="V757" s="29"/>
      <c r="W757" s="30" t="s">
        <v>2032</v>
      </c>
      <c r="X757" s="29" t="s">
        <v>2032</v>
      </c>
      <c r="Y757" s="29"/>
      <c r="Z757" s="29"/>
      <c r="AA757" s="29"/>
      <c r="AB757" s="27" t="s">
        <v>2056</v>
      </c>
      <c r="AC757" s="27"/>
      <c r="AD757" s="27"/>
      <c r="AE757" s="31">
        <f>657.57</f>
        <v>657.57</v>
      </c>
      <c r="AF757" s="31"/>
      <c r="AG757" s="31"/>
    </row>
    <row r="758" spans="1:33" s="1" customFormat="1" ht="18.75" customHeight="1">
      <c r="A758" s="24" t="s">
        <v>585</v>
      </c>
      <c r="B758" s="25" t="s">
        <v>586</v>
      </c>
      <c r="C758" s="25"/>
      <c r="D758" s="25"/>
      <c r="E758" s="26" t="s">
        <v>587</v>
      </c>
      <c r="F758" s="26"/>
      <c r="G758" s="26"/>
      <c r="H758" s="26"/>
      <c r="I758" s="26"/>
      <c r="J758" s="27" t="s">
        <v>2056</v>
      </c>
      <c r="K758" s="27"/>
      <c r="L758" s="27"/>
      <c r="M758" s="27"/>
      <c r="N758" s="28">
        <f>72.94</f>
        <v>72.94</v>
      </c>
      <c r="O758" s="28"/>
      <c r="P758" s="28"/>
      <c r="Q758" s="27" t="s">
        <v>2032</v>
      </c>
      <c r="R758" s="27"/>
      <c r="S758" s="29" t="s">
        <v>2032</v>
      </c>
      <c r="T758" s="29"/>
      <c r="U758" s="29"/>
      <c r="V758" s="29"/>
      <c r="W758" s="30" t="s">
        <v>2032</v>
      </c>
      <c r="X758" s="29" t="s">
        <v>2032</v>
      </c>
      <c r="Y758" s="29"/>
      <c r="Z758" s="29"/>
      <c r="AA758" s="29"/>
      <c r="AB758" s="27" t="s">
        <v>2056</v>
      </c>
      <c r="AC758" s="27"/>
      <c r="AD758" s="27"/>
      <c r="AE758" s="31">
        <f>72.94</f>
        <v>72.94</v>
      </c>
      <c r="AF758" s="31"/>
      <c r="AG758" s="31"/>
    </row>
    <row r="759" spans="1:33" s="1" customFormat="1" ht="18.75" customHeight="1">
      <c r="A759" s="24" t="s">
        <v>588</v>
      </c>
      <c r="B759" s="25" t="s">
        <v>2549</v>
      </c>
      <c r="C759" s="25"/>
      <c r="D759" s="25"/>
      <c r="E759" s="26" t="s">
        <v>589</v>
      </c>
      <c r="F759" s="26"/>
      <c r="G759" s="26"/>
      <c r="H759" s="26"/>
      <c r="I759" s="26"/>
      <c r="J759" s="27" t="s">
        <v>2056</v>
      </c>
      <c r="K759" s="27"/>
      <c r="L759" s="27"/>
      <c r="M759" s="27"/>
      <c r="N759" s="28">
        <f>7.14</f>
        <v>7.14</v>
      </c>
      <c r="O759" s="28"/>
      <c r="P759" s="28"/>
      <c r="Q759" s="27" t="s">
        <v>2032</v>
      </c>
      <c r="R759" s="27"/>
      <c r="S759" s="29" t="s">
        <v>2032</v>
      </c>
      <c r="T759" s="29"/>
      <c r="U759" s="29"/>
      <c r="V759" s="29"/>
      <c r="W759" s="30" t="s">
        <v>2032</v>
      </c>
      <c r="X759" s="29" t="s">
        <v>2032</v>
      </c>
      <c r="Y759" s="29"/>
      <c r="Z759" s="29"/>
      <c r="AA759" s="29"/>
      <c r="AB759" s="27" t="s">
        <v>2056</v>
      </c>
      <c r="AC759" s="27"/>
      <c r="AD759" s="27"/>
      <c r="AE759" s="31">
        <f>7.14</f>
        <v>7.14</v>
      </c>
      <c r="AF759" s="31"/>
      <c r="AG759" s="31"/>
    </row>
    <row r="760" spans="1:33" s="1" customFormat="1" ht="18.75" customHeight="1">
      <c r="A760" s="24" t="s">
        <v>590</v>
      </c>
      <c r="B760" s="25" t="s">
        <v>591</v>
      </c>
      <c r="C760" s="25"/>
      <c r="D760" s="25"/>
      <c r="E760" s="26" t="s">
        <v>592</v>
      </c>
      <c r="F760" s="26"/>
      <c r="G760" s="26"/>
      <c r="H760" s="26"/>
      <c r="I760" s="26"/>
      <c r="J760" s="27" t="s">
        <v>2056</v>
      </c>
      <c r="K760" s="27"/>
      <c r="L760" s="27"/>
      <c r="M760" s="27"/>
      <c r="N760" s="28">
        <f>2675</f>
        <v>2675</v>
      </c>
      <c r="O760" s="28"/>
      <c r="P760" s="28"/>
      <c r="Q760" s="27" t="s">
        <v>2032</v>
      </c>
      <c r="R760" s="27"/>
      <c r="S760" s="29" t="s">
        <v>2032</v>
      </c>
      <c r="T760" s="29"/>
      <c r="U760" s="29"/>
      <c r="V760" s="29"/>
      <c r="W760" s="30" t="s">
        <v>2032</v>
      </c>
      <c r="X760" s="29" t="s">
        <v>2032</v>
      </c>
      <c r="Y760" s="29"/>
      <c r="Z760" s="29"/>
      <c r="AA760" s="29"/>
      <c r="AB760" s="27" t="s">
        <v>2056</v>
      </c>
      <c r="AC760" s="27"/>
      <c r="AD760" s="27"/>
      <c r="AE760" s="31">
        <f>2675</f>
        <v>2675</v>
      </c>
      <c r="AF760" s="31"/>
      <c r="AG760" s="31"/>
    </row>
    <row r="761" spans="1:33" s="1" customFormat="1" ht="18.75" customHeight="1">
      <c r="A761" s="24" t="s">
        <v>593</v>
      </c>
      <c r="B761" s="25" t="s">
        <v>594</v>
      </c>
      <c r="C761" s="25"/>
      <c r="D761" s="25"/>
      <c r="E761" s="26" t="s">
        <v>595</v>
      </c>
      <c r="F761" s="26"/>
      <c r="G761" s="26"/>
      <c r="H761" s="26"/>
      <c r="I761" s="26"/>
      <c r="J761" s="27" t="s">
        <v>2057</v>
      </c>
      <c r="K761" s="27"/>
      <c r="L761" s="27"/>
      <c r="M761" s="27"/>
      <c r="N761" s="28">
        <f>730.64</f>
        <v>730.64</v>
      </c>
      <c r="O761" s="28"/>
      <c r="P761" s="28"/>
      <c r="Q761" s="27" t="s">
        <v>2032</v>
      </c>
      <c r="R761" s="27"/>
      <c r="S761" s="29" t="s">
        <v>2032</v>
      </c>
      <c r="T761" s="29"/>
      <c r="U761" s="29"/>
      <c r="V761" s="29"/>
      <c r="W761" s="30" t="s">
        <v>2032</v>
      </c>
      <c r="X761" s="29" t="s">
        <v>2032</v>
      </c>
      <c r="Y761" s="29"/>
      <c r="Z761" s="29"/>
      <c r="AA761" s="29"/>
      <c r="AB761" s="27" t="s">
        <v>2057</v>
      </c>
      <c r="AC761" s="27"/>
      <c r="AD761" s="27"/>
      <c r="AE761" s="31">
        <f>730.64</f>
        <v>730.64</v>
      </c>
      <c r="AF761" s="31"/>
      <c r="AG761" s="31"/>
    </row>
    <row r="762" spans="1:33" s="1" customFormat="1" ht="18.75" customHeight="1">
      <c r="A762" s="24" t="s">
        <v>596</v>
      </c>
      <c r="B762" s="25" t="s">
        <v>597</v>
      </c>
      <c r="C762" s="25"/>
      <c r="D762" s="25"/>
      <c r="E762" s="26" t="s">
        <v>598</v>
      </c>
      <c r="F762" s="26"/>
      <c r="G762" s="26"/>
      <c r="H762" s="26"/>
      <c r="I762" s="26"/>
      <c r="J762" s="27" t="s">
        <v>2056</v>
      </c>
      <c r="K762" s="27"/>
      <c r="L762" s="27"/>
      <c r="M762" s="27"/>
      <c r="N762" s="28">
        <f>1446.53</f>
        <v>1446.53</v>
      </c>
      <c r="O762" s="28"/>
      <c r="P762" s="28"/>
      <c r="Q762" s="27" t="s">
        <v>2032</v>
      </c>
      <c r="R762" s="27"/>
      <c r="S762" s="29" t="s">
        <v>2032</v>
      </c>
      <c r="T762" s="29"/>
      <c r="U762" s="29"/>
      <c r="V762" s="29"/>
      <c r="W762" s="30" t="s">
        <v>2032</v>
      </c>
      <c r="X762" s="29" t="s">
        <v>2032</v>
      </c>
      <c r="Y762" s="29"/>
      <c r="Z762" s="29"/>
      <c r="AA762" s="29"/>
      <c r="AB762" s="27" t="s">
        <v>2056</v>
      </c>
      <c r="AC762" s="27"/>
      <c r="AD762" s="27"/>
      <c r="AE762" s="31">
        <f>1446.53</f>
        <v>1446.53</v>
      </c>
      <c r="AF762" s="31"/>
      <c r="AG762" s="31"/>
    </row>
    <row r="763" spans="1:33" s="1" customFormat="1" ht="33" customHeight="1">
      <c r="A763" s="24" t="s">
        <v>599</v>
      </c>
      <c r="B763" s="25" t="s">
        <v>600</v>
      </c>
      <c r="C763" s="25"/>
      <c r="D763" s="25"/>
      <c r="E763" s="26" t="s">
        <v>601</v>
      </c>
      <c r="F763" s="26"/>
      <c r="G763" s="26"/>
      <c r="H763" s="26"/>
      <c r="I763" s="26"/>
      <c r="J763" s="27" t="s">
        <v>2056</v>
      </c>
      <c r="K763" s="27"/>
      <c r="L763" s="27"/>
      <c r="M763" s="27"/>
      <c r="N763" s="28">
        <f>1900</f>
        <v>1900</v>
      </c>
      <c r="O763" s="28"/>
      <c r="P763" s="28"/>
      <c r="Q763" s="27" t="s">
        <v>2032</v>
      </c>
      <c r="R763" s="27"/>
      <c r="S763" s="29" t="s">
        <v>2032</v>
      </c>
      <c r="T763" s="29"/>
      <c r="U763" s="29"/>
      <c r="V763" s="29"/>
      <c r="W763" s="30" t="s">
        <v>2032</v>
      </c>
      <c r="X763" s="29" t="s">
        <v>2032</v>
      </c>
      <c r="Y763" s="29"/>
      <c r="Z763" s="29"/>
      <c r="AA763" s="29"/>
      <c r="AB763" s="27" t="s">
        <v>2056</v>
      </c>
      <c r="AC763" s="27"/>
      <c r="AD763" s="27"/>
      <c r="AE763" s="31">
        <f>1900</f>
        <v>1900</v>
      </c>
      <c r="AF763" s="31"/>
      <c r="AG763" s="31"/>
    </row>
    <row r="764" spans="1:33" s="1" customFormat="1" ht="33" customHeight="1">
      <c r="A764" s="24" t="s">
        <v>602</v>
      </c>
      <c r="B764" s="25" t="s">
        <v>603</v>
      </c>
      <c r="C764" s="25"/>
      <c r="D764" s="25"/>
      <c r="E764" s="26" t="s">
        <v>604</v>
      </c>
      <c r="F764" s="26"/>
      <c r="G764" s="26"/>
      <c r="H764" s="26"/>
      <c r="I764" s="26"/>
      <c r="J764" s="27" t="s">
        <v>2056</v>
      </c>
      <c r="K764" s="27"/>
      <c r="L764" s="27"/>
      <c r="M764" s="27"/>
      <c r="N764" s="28">
        <f>2950</f>
        <v>2950</v>
      </c>
      <c r="O764" s="28"/>
      <c r="P764" s="28"/>
      <c r="Q764" s="27" t="s">
        <v>2032</v>
      </c>
      <c r="R764" s="27"/>
      <c r="S764" s="29" t="s">
        <v>2032</v>
      </c>
      <c r="T764" s="29"/>
      <c r="U764" s="29"/>
      <c r="V764" s="29"/>
      <c r="W764" s="30" t="s">
        <v>2032</v>
      </c>
      <c r="X764" s="29" t="s">
        <v>2032</v>
      </c>
      <c r="Y764" s="29"/>
      <c r="Z764" s="29"/>
      <c r="AA764" s="29"/>
      <c r="AB764" s="27" t="s">
        <v>2056</v>
      </c>
      <c r="AC764" s="27"/>
      <c r="AD764" s="27"/>
      <c r="AE764" s="31">
        <f>2950</f>
        <v>2950</v>
      </c>
      <c r="AF764" s="31"/>
      <c r="AG764" s="31"/>
    </row>
    <row r="765" spans="1:33" s="1" customFormat="1" ht="18.75" customHeight="1">
      <c r="A765" s="24" t="s">
        <v>605</v>
      </c>
      <c r="B765" s="25" t="s">
        <v>606</v>
      </c>
      <c r="C765" s="25"/>
      <c r="D765" s="25"/>
      <c r="E765" s="26" t="s">
        <v>607</v>
      </c>
      <c r="F765" s="26"/>
      <c r="G765" s="26"/>
      <c r="H765" s="26"/>
      <c r="I765" s="26"/>
      <c r="J765" s="27" t="s">
        <v>2099</v>
      </c>
      <c r="K765" s="27"/>
      <c r="L765" s="27"/>
      <c r="M765" s="27"/>
      <c r="N765" s="28">
        <f>2227</f>
        <v>2227</v>
      </c>
      <c r="O765" s="28"/>
      <c r="P765" s="28"/>
      <c r="Q765" s="27" t="s">
        <v>2032</v>
      </c>
      <c r="R765" s="27"/>
      <c r="S765" s="29" t="s">
        <v>2032</v>
      </c>
      <c r="T765" s="29"/>
      <c r="U765" s="29"/>
      <c r="V765" s="29"/>
      <c r="W765" s="30" t="s">
        <v>2032</v>
      </c>
      <c r="X765" s="29" t="s">
        <v>2032</v>
      </c>
      <c r="Y765" s="29"/>
      <c r="Z765" s="29"/>
      <c r="AA765" s="29"/>
      <c r="AB765" s="27" t="s">
        <v>2099</v>
      </c>
      <c r="AC765" s="27"/>
      <c r="AD765" s="27"/>
      <c r="AE765" s="31">
        <f>2227</f>
        <v>2227</v>
      </c>
      <c r="AF765" s="31"/>
      <c r="AG765" s="31"/>
    </row>
    <row r="766" spans="1:33" s="1" customFormat="1" ht="18.75" customHeight="1">
      <c r="A766" s="24" t="s">
        <v>608</v>
      </c>
      <c r="B766" s="25" t="s">
        <v>609</v>
      </c>
      <c r="C766" s="25"/>
      <c r="D766" s="25"/>
      <c r="E766" s="26" t="s">
        <v>607</v>
      </c>
      <c r="F766" s="26"/>
      <c r="G766" s="26"/>
      <c r="H766" s="26"/>
      <c r="I766" s="26"/>
      <c r="J766" s="27" t="s">
        <v>2096</v>
      </c>
      <c r="K766" s="27"/>
      <c r="L766" s="27"/>
      <c r="M766" s="27"/>
      <c r="N766" s="28">
        <f>1168.96</f>
        <v>1168.96</v>
      </c>
      <c r="O766" s="28"/>
      <c r="P766" s="28"/>
      <c r="Q766" s="27" t="s">
        <v>2032</v>
      </c>
      <c r="R766" s="27"/>
      <c r="S766" s="29" t="s">
        <v>2032</v>
      </c>
      <c r="T766" s="29"/>
      <c r="U766" s="29"/>
      <c r="V766" s="29"/>
      <c r="W766" s="30" t="s">
        <v>2032</v>
      </c>
      <c r="X766" s="29" t="s">
        <v>2032</v>
      </c>
      <c r="Y766" s="29"/>
      <c r="Z766" s="29"/>
      <c r="AA766" s="29"/>
      <c r="AB766" s="27" t="s">
        <v>2096</v>
      </c>
      <c r="AC766" s="27"/>
      <c r="AD766" s="27"/>
      <c r="AE766" s="31">
        <f>1168.96</f>
        <v>1168.96</v>
      </c>
      <c r="AF766" s="31"/>
      <c r="AG766" s="31"/>
    </row>
    <row r="767" spans="1:33" s="1" customFormat="1" ht="18.75" customHeight="1">
      <c r="A767" s="24" t="s">
        <v>610</v>
      </c>
      <c r="B767" s="25" t="s">
        <v>611</v>
      </c>
      <c r="C767" s="25"/>
      <c r="D767" s="25"/>
      <c r="E767" s="26" t="s">
        <v>612</v>
      </c>
      <c r="F767" s="26"/>
      <c r="G767" s="26"/>
      <c r="H767" s="26"/>
      <c r="I767" s="26"/>
      <c r="J767" s="27" t="s">
        <v>2056</v>
      </c>
      <c r="K767" s="27"/>
      <c r="L767" s="27"/>
      <c r="M767" s="27"/>
      <c r="N767" s="28">
        <f>73.06</f>
        <v>73.06</v>
      </c>
      <c r="O767" s="28"/>
      <c r="P767" s="28"/>
      <c r="Q767" s="27" t="s">
        <v>2032</v>
      </c>
      <c r="R767" s="27"/>
      <c r="S767" s="29" t="s">
        <v>2032</v>
      </c>
      <c r="T767" s="29"/>
      <c r="U767" s="29"/>
      <c r="V767" s="29"/>
      <c r="W767" s="30" t="s">
        <v>2032</v>
      </c>
      <c r="X767" s="29" t="s">
        <v>2032</v>
      </c>
      <c r="Y767" s="29"/>
      <c r="Z767" s="29"/>
      <c r="AA767" s="29"/>
      <c r="AB767" s="27" t="s">
        <v>2056</v>
      </c>
      <c r="AC767" s="27"/>
      <c r="AD767" s="27"/>
      <c r="AE767" s="31">
        <f>73.06</f>
        <v>73.06</v>
      </c>
      <c r="AF767" s="31"/>
      <c r="AG767" s="31"/>
    </row>
    <row r="768" spans="1:33" s="1" customFormat="1" ht="33" customHeight="1">
      <c r="A768" s="24" t="s">
        <v>613</v>
      </c>
      <c r="B768" s="25" t="s">
        <v>614</v>
      </c>
      <c r="C768" s="25"/>
      <c r="D768" s="25"/>
      <c r="E768" s="26" t="s">
        <v>615</v>
      </c>
      <c r="F768" s="26"/>
      <c r="G768" s="26"/>
      <c r="H768" s="26"/>
      <c r="I768" s="26"/>
      <c r="J768" s="27" t="s">
        <v>2056</v>
      </c>
      <c r="K768" s="27"/>
      <c r="L768" s="27"/>
      <c r="M768" s="27"/>
      <c r="N768" s="28">
        <f>14.16</f>
        <v>14.16</v>
      </c>
      <c r="O768" s="28"/>
      <c r="P768" s="28"/>
      <c r="Q768" s="27" t="s">
        <v>2032</v>
      </c>
      <c r="R768" s="27"/>
      <c r="S768" s="29" t="s">
        <v>2032</v>
      </c>
      <c r="T768" s="29"/>
      <c r="U768" s="29"/>
      <c r="V768" s="29"/>
      <c r="W768" s="30" t="s">
        <v>2032</v>
      </c>
      <c r="X768" s="29" t="s">
        <v>2032</v>
      </c>
      <c r="Y768" s="29"/>
      <c r="Z768" s="29"/>
      <c r="AA768" s="29"/>
      <c r="AB768" s="27" t="s">
        <v>2056</v>
      </c>
      <c r="AC768" s="27"/>
      <c r="AD768" s="27"/>
      <c r="AE768" s="31">
        <f>14.16</f>
        <v>14.16</v>
      </c>
      <c r="AF768" s="31"/>
      <c r="AG768" s="31"/>
    </row>
    <row r="769" spans="1:33" s="1" customFormat="1" ht="18.75" customHeight="1">
      <c r="A769" s="24" t="s">
        <v>616</v>
      </c>
      <c r="B769" s="25" t="s">
        <v>617</v>
      </c>
      <c r="C769" s="25"/>
      <c r="D769" s="25"/>
      <c r="E769" s="26" t="s">
        <v>618</v>
      </c>
      <c r="F769" s="26"/>
      <c r="G769" s="26"/>
      <c r="H769" s="26"/>
      <c r="I769" s="26"/>
      <c r="J769" s="27" t="s">
        <v>2066</v>
      </c>
      <c r="K769" s="27"/>
      <c r="L769" s="27"/>
      <c r="M769" s="27"/>
      <c r="N769" s="28">
        <f>1527.02</f>
        <v>1527.02</v>
      </c>
      <c r="O769" s="28"/>
      <c r="P769" s="28"/>
      <c r="Q769" s="27" t="s">
        <v>2032</v>
      </c>
      <c r="R769" s="27"/>
      <c r="S769" s="29" t="s">
        <v>2032</v>
      </c>
      <c r="T769" s="29"/>
      <c r="U769" s="29"/>
      <c r="V769" s="29"/>
      <c r="W769" s="30" t="s">
        <v>2032</v>
      </c>
      <c r="X769" s="29" t="s">
        <v>2032</v>
      </c>
      <c r="Y769" s="29"/>
      <c r="Z769" s="29"/>
      <c r="AA769" s="29"/>
      <c r="AB769" s="27" t="s">
        <v>2066</v>
      </c>
      <c r="AC769" s="27"/>
      <c r="AD769" s="27"/>
      <c r="AE769" s="31">
        <f>1527.02</f>
        <v>1527.02</v>
      </c>
      <c r="AF769" s="31"/>
      <c r="AG769" s="31"/>
    </row>
    <row r="770" spans="1:33" s="1" customFormat="1" ht="18.75" customHeight="1">
      <c r="A770" s="24" t="s">
        <v>619</v>
      </c>
      <c r="B770" s="25" t="s">
        <v>620</v>
      </c>
      <c r="C770" s="25"/>
      <c r="D770" s="25"/>
      <c r="E770" s="26" t="s">
        <v>621</v>
      </c>
      <c r="F770" s="26"/>
      <c r="G770" s="26"/>
      <c r="H770" s="26"/>
      <c r="I770" s="26"/>
      <c r="J770" s="27" t="s">
        <v>2093</v>
      </c>
      <c r="K770" s="27"/>
      <c r="L770" s="27"/>
      <c r="M770" s="27"/>
      <c r="N770" s="28">
        <f>12750</f>
        <v>12750</v>
      </c>
      <c r="O770" s="28"/>
      <c r="P770" s="28"/>
      <c r="Q770" s="27" t="s">
        <v>2032</v>
      </c>
      <c r="R770" s="27"/>
      <c r="S770" s="29" t="s">
        <v>2032</v>
      </c>
      <c r="T770" s="29"/>
      <c r="U770" s="29"/>
      <c r="V770" s="29"/>
      <c r="W770" s="30" t="s">
        <v>2032</v>
      </c>
      <c r="X770" s="29" t="s">
        <v>2032</v>
      </c>
      <c r="Y770" s="29"/>
      <c r="Z770" s="29"/>
      <c r="AA770" s="29"/>
      <c r="AB770" s="27" t="s">
        <v>2093</v>
      </c>
      <c r="AC770" s="27"/>
      <c r="AD770" s="27"/>
      <c r="AE770" s="31">
        <f>12750</f>
        <v>12750</v>
      </c>
      <c r="AF770" s="31"/>
      <c r="AG770" s="31"/>
    </row>
    <row r="771" spans="1:33" s="1" customFormat="1" ht="33" customHeight="1">
      <c r="A771" s="24" t="s">
        <v>622</v>
      </c>
      <c r="B771" s="25" t="s">
        <v>623</v>
      </c>
      <c r="C771" s="25"/>
      <c r="D771" s="25"/>
      <c r="E771" s="26" t="s">
        <v>624</v>
      </c>
      <c r="F771" s="26"/>
      <c r="G771" s="26"/>
      <c r="H771" s="26"/>
      <c r="I771" s="26"/>
      <c r="J771" s="27" t="s">
        <v>2085</v>
      </c>
      <c r="K771" s="27"/>
      <c r="L771" s="27"/>
      <c r="M771" s="27"/>
      <c r="N771" s="28">
        <f>5400</f>
        <v>5400</v>
      </c>
      <c r="O771" s="28"/>
      <c r="P771" s="28"/>
      <c r="Q771" s="27" t="s">
        <v>2032</v>
      </c>
      <c r="R771" s="27"/>
      <c r="S771" s="29" t="s">
        <v>2032</v>
      </c>
      <c r="T771" s="29"/>
      <c r="U771" s="29"/>
      <c r="V771" s="29"/>
      <c r="W771" s="30" t="s">
        <v>2032</v>
      </c>
      <c r="X771" s="29" t="s">
        <v>2032</v>
      </c>
      <c r="Y771" s="29"/>
      <c r="Z771" s="29"/>
      <c r="AA771" s="29"/>
      <c r="AB771" s="27" t="s">
        <v>2085</v>
      </c>
      <c r="AC771" s="27"/>
      <c r="AD771" s="27"/>
      <c r="AE771" s="31">
        <f>5400</f>
        <v>5400</v>
      </c>
      <c r="AF771" s="31"/>
      <c r="AG771" s="31"/>
    </row>
    <row r="772" spans="1:33" s="1" customFormat="1" ht="18.75" customHeight="1">
      <c r="A772" s="24" t="s">
        <v>625</v>
      </c>
      <c r="B772" s="25" t="s">
        <v>626</v>
      </c>
      <c r="C772" s="25"/>
      <c r="D772" s="25"/>
      <c r="E772" s="26" t="s">
        <v>627</v>
      </c>
      <c r="F772" s="26"/>
      <c r="G772" s="26"/>
      <c r="H772" s="26"/>
      <c r="I772" s="26"/>
      <c r="J772" s="27" t="s">
        <v>2056</v>
      </c>
      <c r="K772" s="27"/>
      <c r="L772" s="27"/>
      <c r="M772" s="27"/>
      <c r="N772" s="28">
        <f>73.06</f>
        <v>73.06</v>
      </c>
      <c r="O772" s="28"/>
      <c r="P772" s="28"/>
      <c r="Q772" s="27" t="s">
        <v>2032</v>
      </c>
      <c r="R772" s="27"/>
      <c r="S772" s="29" t="s">
        <v>2032</v>
      </c>
      <c r="T772" s="29"/>
      <c r="U772" s="29"/>
      <c r="V772" s="29"/>
      <c r="W772" s="30" t="s">
        <v>2032</v>
      </c>
      <c r="X772" s="29" t="s">
        <v>2032</v>
      </c>
      <c r="Y772" s="29"/>
      <c r="Z772" s="29"/>
      <c r="AA772" s="29"/>
      <c r="AB772" s="27" t="s">
        <v>2056</v>
      </c>
      <c r="AC772" s="27"/>
      <c r="AD772" s="27"/>
      <c r="AE772" s="31">
        <f>73.06</f>
        <v>73.06</v>
      </c>
      <c r="AF772" s="31"/>
      <c r="AG772" s="31"/>
    </row>
    <row r="773" spans="1:33" s="1" customFormat="1" ht="18.75" customHeight="1">
      <c r="A773" s="24" t="s">
        <v>628</v>
      </c>
      <c r="B773" s="25" t="s">
        <v>629</v>
      </c>
      <c r="C773" s="25"/>
      <c r="D773" s="25"/>
      <c r="E773" s="26" t="s">
        <v>630</v>
      </c>
      <c r="F773" s="26"/>
      <c r="G773" s="26"/>
      <c r="H773" s="26"/>
      <c r="I773" s="26"/>
      <c r="J773" s="27" t="s">
        <v>2056</v>
      </c>
      <c r="K773" s="27"/>
      <c r="L773" s="27"/>
      <c r="M773" s="27"/>
      <c r="N773" s="28">
        <f>73.06</f>
        <v>73.06</v>
      </c>
      <c r="O773" s="28"/>
      <c r="P773" s="28"/>
      <c r="Q773" s="27" t="s">
        <v>2032</v>
      </c>
      <c r="R773" s="27"/>
      <c r="S773" s="29" t="s">
        <v>2032</v>
      </c>
      <c r="T773" s="29"/>
      <c r="U773" s="29"/>
      <c r="V773" s="29"/>
      <c r="W773" s="30" t="s">
        <v>2032</v>
      </c>
      <c r="X773" s="29" t="s">
        <v>2032</v>
      </c>
      <c r="Y773" s="29"/>
      <c r="Z773" s="29"/>
      <c r="AA773" s="29"/>
      <c r="AB773" s="27" t="s">
        <v>2056</v>
      </c>
      <c r="AC773" s="27"/>
      <c r="AD773" s="27"/>
      <c r="AE773" s="31">
        <f>73.06</f>
        <v>73.06</v>
      </c>
      <c r="AF773" s="31"/>
      <c r="AG773" s="31"/>
    </row>
    <row r="774" spans="1:33" s="1" customFormat="1" ht="18.75" customHeight="1">
      <c r="A774" s="24" t="s">
        <v>631</v>
      </c>
      <c r="B774" s="25" t="s">
        <v>2651</v>
      </c>
      <c r="C774" s="25"/>
      <c r="D774" s="25"/>
      <c r="E774" s="26" t="s">
        <v>632</v>
      </c>
      <c r="F774" s="26"/>
      <c r="G774" s="26"/>
      <c r="H774" s="26"/>
      <c r="I774" s="26"/>
      <c r="J774" s="27" t="s">
        <v>2056</v>
      </c>
      <c r="K774" s="27"/>
      <c r="L774" s="27"/>
      <c r="M774" s="27"/>
      <c r="N774" s="28">
        <f>73.06</f>
        <v>73.06</v>
      </c>
      <c r="O774" s="28"/>
      <c r="P774" s="28"/>
      <c r="Q774" s="27" t="s">
        <v>2032</v>
      </c>
      <c r="R774" s="27"/>
      <c r="S774" s="29" t="s">
        <v>2032</v>
      </c>
      <c r="T774" s="29"/>
      <c r="U774" s="29"/>
      <c r="V774" s="29"/>
      <c r="W774" s="30" t="s">
        <v>2032</v>
      </c>
      <c r="X774" s="29" t="s">
        <v>2032</v>
      </c>
      <c r="Y774" s="29"/>
      <c r="Z774" s="29"/>
      <c r="AA774" s="29"/>
      <c r="AB774" s="27" t="s">
        <v>2056</v>
      </c>
      <c r="AC774" s="27"/>
      <c r="AD774" s="27"/>
      <c r="AE774" s="31">
        <f>73.06</f>
        <v>73.06</v>
      </c>
      <c r="AF774" s="31"/>
      <c r="AG774" s="31"/>
    </row>
    <row r="775" spans="1:33" s="1" customFormat="1" ht="18.75" customHeight="1">
      <c r="A775" s="24" t="s">
        <v>633</v>
      </c>
      <c r="B775" s="25" t="s">
        <v>634</v>
      </c>
      <c r="C775" s="25"/>
      <c r="D775" s="25"/>
      <c r="E775" s="26" t="s">
        <v>635</v>
      </c>
      <c r="F775" s="26"/>
      <c r="G775" s="26"/>
      <c r="H775" s="26"/>
      <c r="I775" s="26"/>
      <c r="J775" s="27" t="s">
        <v>2056</v>
      </c>
      <c r="K775" s="27"/>
      <c r="L775" s="27"/>
      <c r="M775" s="27"/>
      <c r="N775" s="28">
        <f>710.85</f>
        <v>710.85</v>
      </c>
      <c r="O775" s="28"/>
      <c r="P775" s="28"/>
      <c r="Q775" s="27" t="s">
        <v>2032</v>
      </c>
      <c r="R775" s="27"/>
      <c r="S775" s="29" t="s">
        <v>2032</v>
      </c>
      <c r="T775" s="29"/>
      <c r="U775" s="29"/>
      <c r="V775" s="29"/>
      <c r="W775" s="30" t="s">
        <v>2032</v>
      </c>
      <c r="X775" s="29" t="s">
        <v>2032</v>
      </c>
      <c r="Y775" s="29"/>
      <c r="Z775" s="29"/>
      <c r="AA775" s="29"/>
      <c r="AB775" s="27" t="s">
        <v>2056</v>
      </c>
      <c r="AC775" s="27"/>
      <c r="AD775" s="27"/>
      <c r="AE775" s="31">
        <f>710.85</f>
        <v>710.85</v>
      </c>
      <c r="AF775" s="31"/>
      <c r="AG775" s="31"/>
    </row>
    <row r="776" spans="1:33" s="1" customFormat="1" ht="18.75" customHeight="1">
      <c r="A776" s="24" t="s">
        <v>636</v>
      </c>
      <c r="B776" s="25" t="s">
        <v>637</v>
      </c>
      <c r="C776" s="25"/>
      <c r="D776" s="25"/>
      <c r="E776" s="26" t="s">
        <v>638</v>
      </c>
      <c r="F776" s="26"/>
      <c r="G776" s="26"/>
      <c r="H776" s="26"/>
      <c r="I776" s="26"/>
      <c r="J776" s="27" t="s">
        <v>2056</v>
      </c>
      <c r="K776" s="27"/>
      <c r="L776" s="27"/>
      <c r="M776" s="27"/>
      <c r="N776" s="28">
        <f>500</f>
        <v>500</v>
      </c>
      <c r="O776" s="28"/>
      <c r="P776" s="28"/>
      <c r="Q776" s="27" t="s">
        <v>2032</v>
      </c>
      <c r="R776" s="27"/>
      <c r="S776" s="29" t="s">
        <v>2032</v>
      </c>
      <c r="T776" s="29"/>
      <c r="U776" s="29"/>
      <c r="V776" s="29"/>
      <c r="W776" s="30" t="s">
        <v>2032</v>
      </c>
      <c r="X776" s="29" t="s">
        <v>2032</v>
      </c>
      <c r="Y776" s="29"/>
      <c r="Z776" s="29"/>
      <c r="AA776" s="29"/>
      <c r="AB776" s="27" t="s">
        <v>2056</v>
      </c>
      <c r="AC776" s="27"/>
      <c r="AD776" s="27"/>
      <c r="AE776" s="31">
        <f>500</f>
        <v>500</v>
      </c>
      <c r="AF776" s="31"/>
      <c r="AG776" s="31"/>
    </row>
    <row r="777" spans="1:33" s="1" customFormat="1" ht="18.75" customHeight="1">
      <c r="A777" s="24" t="s">
        <v>639</v>
      </c>
      <c r="B777" s="25" t="s">
        <v>640</v>
      </c>
      <c r="C777" s="25"/>
      <c r="D777" s="25"/>
      <c r="E777" s="26" t="s">
        <v>641</v>
      </c>
      <c r="F777" s="26"/>
      <c r="G777" s="26"/>
      <c r="H777" s="26"/>
      <c r="I777" s="26"/>
      <c r="J777" s="27" t="s">
        <v>2056</v>
      </c>
      <c r="K777" s="27"/>
      <c r="L777" s="27"/>
      <c r="M777" s="27"/>
      <c r="N777" s="28">
        <f>740</f>
        <v>740</v>
      </c>
      <c r="O777" s="28"/>
      <c r="P777" s="28"/>
      <c r="Q777" s="27" t="s">
        <v>2032</v>
      </c>
      <c r="R777" s="27"/>
      <c r="S777" s="29" t="s">
        <v>2032</v>
      </c>
      <c r="T777" s="29"/>
      <c r="U777" s="29"/>
      <c r="V777" s="29"/>
      <c r="W777" s="30" t="s">
        <v>2032</v>
      </c>
      <c r="X777" s="29" t="s">
        <v>2032</v>
      </c>
      <c r="Y777" s="29"/>
      <c r="Z777" s="29"/>
      <c r="AA777" s="29"/>
      <c r="AB777" s="27" t="s">
        <v>2056</v>
      </c>
      <c r="AC777" s="27"/>
      <c r="AD777" s="27"/>
      <c r="AE777" s="31">
        <f>740</f>
        <v>740</v>
      </c>
      <c r="AF777" s="31"/>
      <c r="AG777" s="31"/>
    </row>
    <row r="778" spans="1:33" s="1" customFormat="1" ht="18.75" customHeight="1">
      <c r="A778" s="24" t="s">
        <v>642</v>
      </c>
      <c r="B778" s="25" t="s">
        <v>2612</v>
      </c>
      <c r="C778" s="25"/>
      <c r="D778" s="25"/>
      <c r="E778" s="26" t="s">
        <v>643</v>
      </c>
      <c r="F778" s="26"/>
      <c r="G778" s="26"/>
      <c r="H778" s="26"/>
      <c r="I778" s="26"/>
      <c r="J778" s="27" t="s">
        <v>2056</v>
      </c>
      <c r="K778" s="27"/>
      <c r="L778" s="27"/>
      <c r="M778" s="27"/>
      <c r="N778" s="28">
        <f>262</f>
        <v>262</v>
      </c>
      <c r="O778" s="28"/>
      <c r="P778" s="28"/>
      <c r="Q778" s="27" t="s">
        <v>2032</v>
      </c>
      <c r="R778" s="27"/>
      <c r="S778" s="29" t="s">
        <v>2032</v>
      </c>
      <c r="T778" s="29"/>
      <c r="U778" s="29"/>
      <c r="V778" s="29"/>
      <c r="W778" s="30" t="s">
        <v>2032</v>
      </c>
      <c r="X778" s="29" t="s">
        <v>2032</v>
      </c>
      <c r="Y778" s="29"/>
      <c r="Z778" s="29"/>
      <c r="AA778" s="29"/>
      <c r="AB778" s="27" t="s">
        <v>2056</v>
      </c>
      <c r="AC778" s="27"/>
      <c r="AD778" s="27"/>
      <c r="AE778" s="31">
        <f>262</f>
        <v>262</v>
      </c>
      <c r="AF778" s="31"/>
      <c r="AG778" s="31"/>
    </row>
    <row r="779" spans="1:33" s="1" customFormat="1" ht="18.75" customHeight="1">
      <c r="A779" s="24" t="s">
        <v>644</v>
      </c>
      <c r="B779" s="25" t="s">
        <v>645</v>
      </c>
      <c r="C779" s="25"/>
      <c r="D779" s="25"/>
      <c r="E779" s="26" t="s">
        <v>646</v>
      </c>
      <c r="F779" s="26"/>
      <c r="G779" s="26"/>
      <c r="H779" s="26"/>
      <c r="I779" s="26"/>
      <c r="J779" s="27" t="s">
        <v>2056</v>
      </c>
      <c r="K779" s="27"/>
      <c r="L779" s="27"/>
      <c r="M779" s="27"/>
      <c r="N779" s="28">
        <f>73.06</f>
        <v>73.06</v>
      </c>
      <c r="O779" s="28"/>
      <c r="P779" s="28"/>
      <c r="Q779" s="27" t="s">
        <v>2032</v>
      </c>
      <c r="R779" s="27"/>
      <c r="S779" s="29" t="s">
        <v>2032</v>
      </c>
      <c r="T779" s="29"/>
      <c r="U779" s="29"/>
      <c r="V779" s="29"/>
      <c r="W779" s="30" t="s">
        <v>2032</v>
      </c>
      <c r="X779" s="29" t="s">
        <v>2032</v>
      </c>
      <c r="Y779" s="29"/>
      <c r="Z779" s="29"/>
      <c r="AA779" s="29"/>
      <c r="AB779" s="27" t="s">
        <v>2056</v>
      </c>
      <c r="AC779" s="27"/>
      <c r="AD779" s="27"/>
      <c r="AE779" s="31">
        <f>73.06</f>
        <v>73.06</v>
      </c>
      <c r="AF779" s="31"/>
      <c r="AG779" s="31"/>
    </row>
    <row r="780" spans="1:33" s="1" customFormat="1" ht="33" customHeight="1">
      <c r="A780" s="24" t="s">
        <v>647</v>
      </c>
      <c r="B780" s="25" t="s">
        <v>648</v>
      </c>
      <c r="C780" s="25"/>
      <c r="D780" s="25"/>
      <c r="E780" s="26" t="s">
        <v>649</v>
      </c>
      <c r="F780" s="26"/>
      <c r="G780" s="26"/>
      <c r="H780" s="26"/>
      <c r="I780" s="26"/>
      <c r="J780" s="27" t="s">
        <v>2056</v>
      </c>
      <c r="K780" s="27"/>
      <c r="L780" s="27"/>
      <c r="M780" s="27"/>
      <c r="N780" s="28">
        <f>53.97</f>
        <v>53.97</v>
      </c>
      <c r="O780" s="28"/>
      <c r="P780" s="28"/>
      <c r="Q780" s="27" t="s">
        <v>2032</v>
      </c>
      <c r="R780" s="27"/>
      <c r="S780" s="29" t="s">
        <v>2032</v>
      </c>
      <c r="T780" s="29"/>
      <c r="U780" s="29"/>
      <c r="V780" s="29"/>
      <c r="W780" s="30" t="s">
        <v>2032</v>
      </c>
      <c r="X780" s="29" t="s">
        <v>2032</v>
      </c>
      <c r="Y780" s="29"/>
      <c r="Z780" s="29"/>
      <c r="AA780" s="29"/>
      <c r="AB780" s="27" t="s">
        <v>2056</v>
      </c>
      <c r="AC780" s="27"/>
      <c r="AD780" s="27"/>
      <c r="AE780" s="31">
        <f>53.97</f>
        <v>53.97</v>
      </c>
      <c r="AF780" s="31"/>
      <c r="AG780" s="31"/>
    </row>
    <row r="781" spans="1:33" s="1" customFormat="1" ht="33" customHeight="1">
      <c r="A781" s="24" t="s">
        <v>650</v>
      </c>
      <c r="B781" s="25" t="s">
        <v>651</v>
      </c>
      <c r="C781" s="25"/>
      <c r="D781" s="25"/>
      <c r="E781" s="26" t="s">
        <v>652</v>
      </c>
      <c r="F781" s="26"/>
      <c r="G781" s="26"/>
      <c r="H781" s="26"/>
      <c r="I781" s="26"/>
      <c r="J781" s="27" t="s">
        <v>2056</v>
      </c>
      <c r="K781" s="27"/>
      <c r="L781" s="27"/>
      <c r="M781" s="27"/>
      <c r="N781" s="28">
        <f>53.97</f>
        <v>53.97</v>
      </c>
      <c r="O781" s="28"/>
      <c r="P781" s="28"/>
      <c r="Q781" s="27" t="s">
        <v>2032</v>
      </c>
      <c r="R781" s="27"/>
      <c r="S781" s="29" t="s">
        <v>2032</v>
      </c>
      <c r="T781" s="29"/>
      <c r="U781" s="29"/>
      <c r="V781" s="29"/>
      <c r="W781" s="30" t="s">
        <v>2032</v>
      </c>
      <c r="X781" s="29" t="s">
        <v>2032</v>
      </c>
      <c r="Y781" s="29"/>
      <c r="Z781" s="29"/>
      <c r="AA781" s="29"/>
      <c r="AB781" s="27" t="s">
        <v>2056</v>
      </c>
      <c r="AC781" s="27"/>
      <c r="AD781" s="27"/>
      <c r="AE781" s="31">
        <f>53.97</f>
        <v>53.97</v>
      </c>
      <c r="AF781" s="31"/>
      <c r="AG781" s="31"/>
    </row>
    <row r="782" spans="1:33" s="1" customFormat="1" ht="33" customHeight="1">
      <c r="A782" s="24" t="s">
        <v>653</v>
      </c>
      <c r="B782" s="25" t="s">
        <v>654</v>
      </c>
      <c r="C782" s="25"/>
      <c r="D782" s="25"/>
      <c r="E782" s="26" t="s">
        <v>655</v>
      </c>
      <c r="F782" s="26"/>
      <c r="G782" s="26"/>
      <c r="H782" s="26"/>
      <c r="I782" s="26"/>
      <c r="J782" s="27" t="s">
        <v>2056</v>
      </c>
      <c r="K782" s="27"/>
      <c r="L782" s="27"/>
      <c r="M782" s="27"/>
      <c r="N782" s="28">
        <f>343.98</f>
        <v>343.98</v>
      </c>
      <c r="O782" s="28"/>
      <c r="P782" s="28"/>
      <c r="Q782" s="27" t="s">
        <v>2032</v>
      </c>
      <c r="R782" s="27"/>
      <c r="S782" s="29" t="s">
        <v>2032</v>
      </c>
      <c r="T782" s="29"/>
      <c r="U782" s="29"/>
      <c r="V782" s="29"/>
      <c r="W782" s="30" t="s">
        <v>2032</v>
      </c>
      <c r="X782" s="29" t="s">
        <v>2032</v>
      </c>
      <c r="Y782" s="29"/>
      <c r="Z782" s="29"/>
      <c r="AA782" s="29"/>
      <c r="AB782" s="27" t="s">
        <v>2056</v>
      </c>
      <c r="AC782" s="27"/>
      <c r="AD782" s="27"/>
      <c r="AE782" s="31">
        <f>343.98</f>
        <v>343.98</v>
      </c>
      <c r="AF782" s="31"/>
      <c r="AG782" s="31"/>
    </row>
    <row r="783" spans="1:33" s="1" customFormat="1" ht="33" customHeight="1">
      <c r="A783" s="24" t="s">
        <v>656</v>
      </c>
      <c r="B783" s="25" t="s">
        <v>657</v>
      </c>
      <c r="C783" s="25"/>
      <c r="D783" s="25"/>
      <c r="E783" s="26" t="s">
        <v>658</v>
      </c>
      <c r="F783" s="26"/>
      <c r="G783" s="26"/>
      <c r="H783" s="26"/>
      <c r="I783" s="26"/>
      <c r="J783" s="27" t="s">
        <v>2056</v>
      </c>
      <c r="K783" s="27"/>
      <c r="L783" s="27"/>
      <c r="M783" s="27"/>
      <c r="N783" s="28">
        <f>343.98</f>
        <v>343.98</v>
      </c>
      <c r="O783" s="28"/>
      <c r="P783" s="28"/>
      <c r="Q783" s="27" t="s">
        <v>2032</v>
      </c>
      <c r="R783" s="27"/>
      <c r="S783" s="29" t="s">
        <v>2032</v>
      </c>
      <c r="T783" s="29"/>
      <c r="U783" s="29"/>
      <c r="V783" s="29"/>
      <c r="W783" s="30" t="s">
        <v>2032</v>
      </c>
      <c r="X783" s="29" t="s">
        <v>2032</v>
      </c>
      <c r="Y783" s="29"/>
      <c r="Z783" s="29"/>
      <c r="AA783" s="29"/>
      <c r="AB783" s="27" t="s">
        <v>2056</v>
      </c>
      <c r="AC783" s="27"/>
      <c r="AD783" s="27"/>
      <c r="AE783" s="31">
        <f>343.98</f>
        <v>343.98</v>
      </c>
      <c r="AF783" s="31"/>
      <c r="AG783" s="31"/>
    </row>
    <row r="784" spans="1:33" s="1" customFormat="1" ht="46.5" customHeight="1">
      <c r="A784" s="24" t="s">
        <v>659</v>
      </c>
      <c r="B784" s="25" t="s">
        <v>660</v>
      </c>
      <c r="C784" s="25"/>
      <c r="D784" s="25"/>
      <c r="E784" s="26" t="s">
        <v>661</v>
      </c>
      <c r="F784" s="26"/>
      <c r="G784" s="26"/>
      <c r="H784" s="26"/>
      <c r="I784" s="26"/>
      <c r="J784" s="27" t="s">
        <v>2056</v>
      </c>
      <c r="K784" s="27"/>
      <c r="L784" s="27"/>
      <c r="M784" s="27"/>
      <c r="N784" s="28">
        <f>446.04</f>
        <v>446.04</v>
      </c>
      <c r="O784" s="28"/>
      <c r="P784" s="28"/>
      <c r="Q784" s="27" t="s">
        <v>2032</v>
      </c>
      <c r="R784" s="27"/>
      <c r="S784" s="29" t="s">
        <v>2032</v>
      </c>
      <c r="T784" s="29"/>
      <c r="U784" s="29"/>
      <c r="V784" s="29"/>
      <c r="W784" s="30" t="s">
        <v>2032</v>
      </c>
      <c r="X784" s="29" t="s">
        <v>2032</v>
      </c>
      <c r="Y784" s="29"/>
      <c r="Z784" s="29"/>
      <c r="AA784" s="29"/>
      <c r="AB784" s="27" t="s">
        <v>2056</v>
      </c>
      <c r="AC784" s="27"/>
      <c r="AD784" s="27"/>
      <c r="AE784" s="31">
        <f>446.04</f>
        <v>446.04</v>
      </c>
      <c r="AF784" s="31"/>
      <c r="AG784" s="31"/>
    </row>
    <row r="785" spans="1:33" s="1" customFormat="1" ht="46.5" customHeight="1">
      <c r="A785" s="24" t="s">
        <v>662</v>
      </c>
      <c r="B785" s="25" t="s">
        <v>663</v>
      </c>
      <c r="C785" s="25"/>
      <c r="D785" s="25"/>
      <c r="E785" s="26" t="s">
        <v>664</v>
      </c>
      <c r="F785" s="26"/>
      <c r="G785" s="26"/>
      <c r="H785" s="26"/>
      <c r="I785" s="26"/>
      <c r="J785" s="27" t="s">
        <v>2056</v>
      </c>
      <c r="K785" s="27"/>
      <c r="L785" s="27"/>
      <c r="M785" s="27"/>
      <c r="N785" s="28">
        <f>525</f>
        <v>525</v>
      </c>
      <c r="O785" s="28"/>
      <c r="P785" s="28"/>
      <c r="Q785" s="27" t="s">
        <v>2032</v>
      </c>
      <c r="R785" s="27"/>
      <c r="S785" s="29" t="s">
        <v>2032</v>
      </c>
      <c r="T785" s="29"/>
      <c r="U785" s="29"/>
      <c r="V785" s="29"/>
      <c r="W785" s="30" t="s">
        <v>2032</v>
      </c>
      <c r="X785" s="29" t="s">
        <v>2032</v>
      </c>
      <c r="Y785" s="29"/>
      <c r="Z785" s="29"/>
      <c r="AA785" s="29"/>
      <c r="AB785" s="27" t="s">
        <v>2056</v>
      </c>
      <c r="AC785" s="27"/>
      <c r="AD785" s="27"/>
      <c r="AE785" s="31">
        <f>525</f>
        <v>525</v>
      </c>
      <c r="AF785" s="31"/>
      <c r="AG785" s="31"/>
    </row>
    <row r="786" spans="1:33" s="1" customFormat="1" ht="46.5" customHeight="1">
      <c r="A786" s="24" t="s">
        <v>665</v>
      </c>
      <c r="B786" s="25" t="s">
        <v>666</v>
      </c>
      <c r="C786" s="25"/>
      <c r="D786" s="25"/>
      <c r="E786" s="26" t="s">
        <v>667</v>
      </c>
      <c r="F786" s="26"/>
      <c r="G786" s="26"/>
      <c r="H786" s="26"/>
      <c r="I786" s="26"/>
      <c r="J786" s="27" t="s">
        <v>2057</v>
      </c>
      <c r="K786" s="27"/>
      <c r="L786" s="27"/>
      <c r="M786" s="27"/>
      <c r="N786" s="28">
        <f>892.08</f>
        <v>892.08</v>
      </c>
      <c r="O786" s="28"/>
      <c r="P786" s="28"/>
      <c r="Q786" s="27" t="s">
        <v>2032</v>
      </c>
      <c r="R786" s="27"/>
      <c r="S786" s="29" t="s">
        <v>2032</v>
      </c>
      <c r="T786" s="29"/>
      <c r="U786" s="29"/>
      <c r="V786" s="29"/>
      <c r="W786" s="30" t="s">
        <v>2032</v>
      </c>
      <c r="X786" s="29" t="s">
        <v>2032</v>
      </c>
      <c r="Y786" s="29"/>
      <c r="Z786" s="29"/>
      <c r="AA786" s="29"/>
      <c r="AB786" s="27" t="s">
        <v>2057</v>
      </c>
      <c r="AC786" s="27"/>
      <c r="AD786" s="27"/>
      <c r="AE786" s="31">
        <f>892.08</f>
        <v>892.08</v>
      </c>
      <c r="AF786" s="31"/>
      <c r="AG786" s="31"/>
    </row>
    <row r="787" spans="1:33" s="1" customFormat="1" ht="46.5" customHeight="1">
      <c r="A787" s="24" t="s">
        <v>668</v>
      </c>
      <c r="B787" s="25" t="s">
        <v>669</v>
      </c>
      <c r="C787" s="25"/>
      <c r="D787" s="25"/>
      <c r="E787" s="26" t="s">
        <v>670</v>
      </c>
      <c r="F787" s="26"/>
      <c r="G787" s="26"/>
      <c r="H787" s="26"/>
      <c r="I787" s="26"/>
      <c r="J787" s="27" t="s">
        <v>2057</v>
      </c>
      <c r="K787" s="27"/>
      <c r="L787" s="27"/>
      <c r="M787" s="27"/>
      <c r="N787" s="28">
        <f>892.08</f>
        <v>892.08</v>
      </c>
      <c r="O787" s="28"/>
      <c r="P787" s="28"/>
      <c r="Q787" s="27" t="s">
        <v>2032</v>
      </c>
      <c r="R787" s="27"/>
      <c r="S787" s="29" t="s">
        <v>2032</v>
      </c>
      <c r="T787" s="29"/>
      <c r="U787" s="29"/>
      <c r="V787" s="29"/>
      <c r="W787" s="30" t="s">
        <v>2032</v>
      </c>
      <c r="X787" s="29" t="s">
        <v>2032</v>
      </c>
      <c r="Y787" s="29"/>
      <c r="Z787" s="29"/>
      <c r="AA787" s="29"/>
      <c r="AB787" s="27" t="s">
        <v>2057</v>
      </c>
      <c r="AC787" s="27"/>
      <c r="AD787" s="27"/>
      <c r="AE787" s="31">
        <f>892.08</f>
        <v>892.08</v>
      </c>
      <c r="AF787" s="31"/>
      <c r="AG787" s="31"/>
    </row>
    <row r="788" spans="1:33" s="1" customFormat="1" ht="46.5" customHeight="1">
      <c r="A788" s="24" t="s">
        <v>671</v>
      </c>
      <c r="B788" s="25" t="s">
        <v>672</v>
      </c>
      <c r="C788" s="25"/>
      <c r="D788" s="25"/>
      <c r="E788" s="26" t="s">
        <v>673</v>
      </c>
      <c r="F788" s="26"/>
      <c r="G788" s="26"/>
      <c r="H788" s="26"/>
      <c r="I788" s="26"/>
      <c r="J788" s="27" t="s">
        <v>2056</v>
      </c>
      <c r="K788" s="27"/>
      <c r="L788" s="27"/>
      <c r="M788" s="27"/>
      <c r="N788" s="28">
        <f>446.04</f>
        <v>446.04</v>
      </c>
      <c r="O788" s="28"/>
      <c r="P788" s="28"/>
      <c r="Q788" s="27" t="s">
        <v>2032</v>
      </c>
      <c r="R788" s="27"/>
      <c r="S788" s="29" t="s">
        <v>2032</v>
      </c>
      <c r="T788" s="29"/>
      <c r="U788" s="29"/>
      <c r="V788" s="29"/>
      <c r="W788" s="30" t="s">
        <v>2032</v>
      </c>
      <c r="X788" s="29" t="s">
        <v>2032</v>
      </c>
      <c r="Y788" s="29"/>
      <c r="Z788" s="29"/>
      <c r="AA788" s="29"/>
      <c r="AB788" s="27" t="s">
        <v>2056</v>
      </c>
      <c r="AC788" s="27"/>
      <c r="AD788" s="27"/>
      <c r="AE788" s="31">
        <f>446.04</f>
        <v>446.04</v>
      </c>
      <c r="AF788" s="31"/>
      <c r="AG788" s="31"/>
    </row>
    <row r="789" spans="1:33" s="1" customFormat="1" ht="33" customHeight="1">
      <c r="A789" s="24" t="s">
        <v>674</v>
      </c>
      <c r="B789" s="25" t="s">
        <v>675</v>
      </c>
      <c r="C789" s="25"/>
      <c r="D789" s="25"/>
      <c r="E789" s="26" t="s">
        <v>676</v>
      </c>
      <c r="F789" s="26"/>
      <c r="G789" s="26"/>
      <c r="H789" s="26"/>
      <c r="I789" s="26"/>
      <c r="J789" s="27" t="s">
        <v>2056</v>
      </c>
      <c r="K789" s="27"/>
      <c r="L789" s="27"/>
      <c r="M789" s="27"/>
      <c r="N789" s="28">
        <f>525</f>
        <v>525</v>
      </c>
      <c r="O789" s="28"/>
      <c r="P789" s="28"/>
      <c r="Q789" s="27" t="s">
        <v>2032</v>
      </c>
      <c r="R789" s="27"/>
      <c r="S789" s="29" t="s">
        <v>2032</v>
      </c>
      <c r="T789" s="29"/>
      <c r="U789" s="29"/>
      <c r="V789" s="29"/>
      <c r="W789" s="30" t="s">
        <v>2032</v>
      </c>
      <c r="X789" s="29" t="s">
        <v>2032</v>
      </c>
      <c r="Y789" s="29"/>
      <c r="Z789" s="29"/>
      <c r="AA789" s="29"/>
      <c r="AB789" s="27" t="s">
        <v>2056</v>
      </c>
      <c r="AC789" s="27"/>
      <c r="AD789" s="27"/>
      <c r="AE789" s="31">
        <f>525</f>
        <v>525</v>
      </c>
      <c r="AF789" s="31"/>
      <c r="AG789" s="31"/>
    </row>
    <row r="790" spans="1:33" s="1" customFormat="1" ht="33" customHeight="1">
      <c r="A790" s="24" t="s">
        <v>677</v>
      </c>
      <c r="B790" s="25" t="s">
        <v>678</v>
      </c>
      <c r="C790" s="25"/>
      <c r="D790" s="25"/>
      <c r="E790" s="26" t="s">
        <v>679</v>
      </c>
      <c r="F790" s="26"/>
      <c r="G790" s="26"/>
      <c r="H790" s="26"/>
      <c r="I790" s="26"/>
      <c r="J790" s="27" t="s">
        <v>2056</v>
      </c>
      <c r="K790" s="27"/>
      <c r="L790" s="27"/>
      <c r="M790" s="27"/>
      <c r="N790" s="28">
        <f>446.04</f>
        <v>446.04</v>
      </c>
      <c r="O790" s="28"/>
      <c r="P790" s="28"/>
      <c r="Q790" s="27" t="s">
        <v>2032</v>
      </c>
      <c r="R790" s="27"/>
      <c r="S790" s="29" t="s">
        <v>2032</v>
      </c>
      <c r="T790" s="29"/>
      <c r="U790" s="29"/>
      <c r="V790" s="29"/>
      <c r="W790" s="30" t="s">
        <v>2032</v>
      </c>
      <c r="X790" s="29" t="s">
        <v>2032</v>
      </c>
      <c r="Y790" s="29"/>
      <c r="Z790" s="29"/>
      <c r="AA790" s="29"/>
      <c r="AB790" s="27" t="s">
        <v>2056</v>
      </c>
      <c r="AC790" s="27"/>
      <c r="AD790" s="27"/>
      <c r="AE790" s="31">
        <f>446.04</f>
        <v>446.04</v>
      </c>
      <c r="AF790" s="31"/>
      <c r="AG790" s="31"/>
    </row>
    <row r="791" spans="1:33" s="1" customFormat="1" ht="18.75" customHeight="1">
      <c r="A791" s="24" t="s">
        <v>680</v>
      </c>
      <c r="B791" s="25" t="s">
        <v>681</v>
      </c>
      <c r="C791" s="25"/>
      <c r="D791" s="25"/>
      <c r="E791" s="26" t="s">
        <v>682</v>
      </c>
      <c r="F791" s="26"/>
      <c r="G791" s="26"/>
      <c r="H791" s="26"/>
      <c r="I791" s="26"/>
      <c r="J791" s="27" t="s">
        <v>2056</v>
      </c>
      <c r="K791" s="27"/>
      <c r="L791" s="27"/>
      <c r="M791" s="27"/>
      <c r="N791" s="28">
        <f>1284</f>
        <v>1284</v>
      </c>
      <c r="O791" s="28"/>
      <c r="P791" s="28"/>
      <c r="Q791" s="27" t="s">
        <v>2032</v>
      </c>
      <c r="R791" s="27"/>
      <c r="S791" s="29" t="s">
        <v>2032</v>
      </c>
      <c r="T791" s="29"/>
      <c r="U791" s="29"/>
      <c r="V791" s="29"/>
      <c r="W791" s="30" t="s">
        <v>2032</v>
      </c>
      <c r="X791" s="29" t="s">
        <v>2032</v>
      </c>
      <c r="Y791" s="29"/>
      <c r="Z791" s="29"/>
      <c r="AA791" s="29"/>
      <c r="AB791" s="27" t="s">
        <v>2056</v>
      </c>
      <c r="AC791" s="27"/>
      <c r="AD791" s="27"/>
      <c r="AE791" s="31">
        <f>1284</f>
        <v>1284</v>
      </c>
      <c r="AF791" s="31"/>
      <c r="AG791" s="31"/>
    </row>
    <row r="792" spans="1:33" s="1" customFormat="1" ht="18.75" customHeight="1">
      <c r="A792" s="24" t="s">
        <v>683</v>
      </c>
      <c r="B792" s="25" t="s">
        <v>684</v>
      </c>
      <c r="C792" s="25"/>
      <c r="D792" s="25"/>
      <c r="E792" s="26" t="s">
        <v>685</v>
      </c>
      <c r="F792" s="26"/>
      <c r="G792" s="26"/>
      <c r="H792" s="26"/>
      <c r="I792" s="26"/>
      <c r="J792" s="27" t="s">
        <v>2056</v>
      </c>
      <c r="K792" s="27"/>
      <c r="L792" s="27"/>
      <c r="M792" s="27"/>
      <c r="N792" s="28">
        <f>325</f>
        <v>325</v>
      </c>
      <c r="O792" s="28"/>
      <c r="P792" s="28"/>
      <c r="Q792" s="27" t="s">
        <v>2032</v>
      </c>
      <c r="R792" s="27"/>
      <c r="S792" s="29" t="s">
        <v>2032</v>
      </c>
      <c r="T792" s="29"/>
      <c r="U792" s="29"/>
      <c r="V792" s="29"/>
      <c r="W792" s="30" t="s">
        <v>2032</v>
      </c>
      <c r="X792" s="29" t="s">
        <v>2032</v>
      </c>
      <c r="Y792" s="29"/>
      <c r="Z792" s="29"/>
      <c r="AA792" s="29"/>
      <c r="AB792" s="27" t="s">
        <v>2056</v>
      </c>
      <c r="AC792" s="27"/>
      <c r="AD792" s="27"/>
      <c r="AE792" s="31">
        <f>325</f>
        <v>325</v>
      </c>
      <c r="AF792" s="31"/>
      <c r="AG792" s="31"/>
    </row>
    <row r="793" spans="1:33" s="1" customFormat="1" ht="33" customHeight="1">
      <c r="A793" s="24" t="s">
        <v>686</v>
      </c>
      <c r="B793" s="25" t="s">
        <v>687</v>
      </c>
      <c r="C793" s="25"/>
      <c r="D793" s="25"/>
      <c r="E793" s="26" t="s">
        <v>688</v>
      </c>
      <c r="F793" s="26"/>
      <c r="G793" s="26"/>
      <c r="H793" s="26"/>
      <c r="I793" s="26"/>
      <c r="J793" s="27" t="s">
        <v>2056</v>
      </c>
      <c r="K793" s="27"/>
      <c r="L793" s="27"/>
      <c r="M793" s="27"/>
      <c r="N793" s="28">
        <f>325</f>
        <v>325</v>
      </c>
      <c r="O793" s="28"/>
      <c r="P793" s="28"/>
      <c r="Q793" s="27" t="s">
        <v>2032</v>
      </c>
      <c r="R793" s="27"/>
      <c r="S793" s="29" t="s">
        <v>2032</v>
      </c>
      <c r="T793" s="29"/>
      <c r="U793" s="29"/>
      <c r="V793" s="29"/>
      <c r="W793" s="30" t="s">
        <v>2032</v>
      </c>
      <c r="X793" s="29" t="s">
        <v>2032</v>
      </c>
      <c r="Y793" s="29"/>
      <c r="Z793" s="29"/>
      <c r="AA793" s="29"/>
      <c r="AB793" s="27" t="s">
        <v>2056</v>
      </c>
      <c r="AC793" s="27"/>
      <c r="AD793" s="27"/>
      <c r="AE793" s="31">
        <f>325</f>
        <v>325</v>
      </c>
      <c r="AF793" s="31"/>
      <c r="AG793" s="31"/>
    </row>
    <row r="794" spans="1:33" s="1" customFormat="1" ht="18.75" customHeight="1">
      <c r="A794" s="24" t="s">
        <v>689</v>
      </c>
      <c r="B794" s="25" t="s">
        <v>690</v>
      </c>
      <c r="C794" s="25"/>
      <c r="D794" s="25"/>
      <c r="E794" s="26" t="s">
        <v>691</v>
      </c>
      <c r="F794" s="26"/>
      <c r="G794" s="26"/>
      <c r="H794" s="26"/>
      <c r="I794" s="26"/>
      <c r="J794" s="27" t="s">
        <v>2056</v>
      </c>
      <c r="K794" s="27"/>
      <c r="L794" s="27"/>
      <c r="M794" s="27"/>
      <c r="N794" s="28">
        <f>325</f>
        <v>325</v>
      </c>
      <c r="O794" s="28"/>
      <c r="P794" s="28"/>
      <c r="Q794" s="27" t="s">
        <v>2032</v>
      </c>
      <c r="R794" s="27"/>
      <c r="S794" s="29" t="s">
        <v>2032</v>
      </c>
      <c r="T794" s="29"/>
      <c r="U794" s="29"/>
      <c r="V794" s="29"/>
      <c r="W794" s="30" t="s">
        <v>2032</v>
      </c>
      <c r="X794" s="29" t="s">
        <v>2032</v>
      </c>
      <c r="Y794" s="29"/>
      <c r="Z794" s="29"/>
      <c r="AA794" s="29"/>
      <c r="AB794" s="27" t="s">
        <v>2056</v>
      </c>
      <c r="AC794" s="27"/>
      <c r="AD794" s="27"/>
      <c r="AE794" s="31">
        <f>325</f>
        <v>325</v>
      </c>
      <c r="AF794" s="31"/>
      <c r="AG794" s="31"/>
    </row>
    <row r="795" spans="1:33" s="1" customFormat="1" ht="18.75" customHeight="1">
      <c r="A795" s="24" t="s">
        <v>692</v>
      </c>
      <c r="B795" s="25" t="s">
        <v>2654</v>
      </c>
      <c r="C795" s="25"/>
      <c r="D795" s="25"/>
      <c r="E795" s="26" t="s">
        <v>693</v>
      </c>
      <c r="F795" s="26"/>
      <c r="G795" s="26"/>
      <c r="H795" s="26"/>
      <c r="I795" s="26"/>
      <c r="J795" s="27" t="s">
        <v>2056</v>
      </c>
      <c r="K795" s="27"/>
      <c r="L795" s="27"/>
      <c r="M795" s="27"/>
      <c r="N795" s="28">
        <f>73.06</f>
        <v>73.06</v>
      </c>
      <c r="O795" s="28"/>
      <c r="P795" s="28"/>
      <c r="Q795" s="27" t="s">
        <v>2032</v>
      </c>
      <c r="R795" s="27"/>
      <c r="S795" s="29" t="s">
        <v>2032</v>
      </c>
      <c r="T795" s="29"/>
      <c r="U795" s="29"/>
      <c r="V795" s="29"/>
      <c r="W795" s="30" t="s">
        <v>2032</v>
      </c>
      <c r="X795" s="29" t="s">
        <v>2032</v>
      </c>
      <c r="Y795" s="29"/>
      <c r="Z795" s="29"/>
      <c r="AA795" s="29"/>
      <c r="AB795" s="27" t="s">
        <v>2056</v>
      </c>
      <c r="AC795" s="27"/>
      <c r="AD795" s="27"/>
      <c r="AE795" s="31">
        <f>73.06</f>
        <v>73.06</v>
      </c>
      <c r="AF795" s="31"/>
      <c r="AG795" s="31"/>
    </row>
    <row r="796" spans="1:33" s="1" customFormat="1" ht="18.75" customHeight="1">
      <c r="A796" s="24" t="s">
        <v>694</v>
      </c>
      <c r="B796" s="25" t="s">
        <v>695</v>
      </c>
      <c r="C796" s="25"/>
      <c r="D796" s="25"/>
      <c r="E796" s="26" t="s">
        <v>696</v>
      </c>
      <c r="F796" s="26"/>
      <c r="G796" s="26"/>
      <c r="H796" s="26"/>
      <c r="I796" s="26"/>
      <c r="J796" s="27" t="s">
        <v>2058</v>
      </c>
      <c r="K796" s="27"/>
      <c r="L796" s="27"/>
      <c r="M796" s="27"/>
      <c r="N796" s="28">
        <f>1390</f>
        <v>1390</v>
      </c>
      <c r="O796" s="28"/>
      <c r="P796" s="28"/>
      <c r="Q796" s="27" t="s">
        <v>2032</v>
      </c>
      <c r="R796" s="27"/>
      <c r="S796" s="29" t="s">
        <v>2032</v>
      </c>
      <c r="T796" s="29"/>
      <c r="U796" s="29"/>
      <c r="V796" s="29"/>
      <c r="W796" s="30" t="s">
        <v>2032</v>
      </c>
      <c r="X796" s="29" t="s">
        <v>2032</v>
      </c>
      <c r="Y796" s="29"/>
      <c r="Z796" s="29"/>
      <c r="AA796" s="29"/>
      <c r="AB796" s="27" t="s">
        <v>2058</v>
      </c>
      <c r="AC796" s="27"/>
      <c r="AD796" s="27"/>
      <c r="AE796" s="31">
        <f>1390</f>
        <v>1390</v>
      </c>
      <c r="AF796" s="31"/>
      <c r="AG796" s="31"/>
    </row>
    <row r="797" spans="1:33" s="1" customFormat="1" ht="33" customHeight="1">
      <c r="A797" s="24" t="s">
        <v>697</v>
      </c>
      <c r="B797" s="25" t="s">
        <v>698</v>
      </c>
      <c r="C797" s="25"/>
      <c r="D797" s="25"/>
      <c r="E797" s="26" t="s">
        <v>699</v>
      </c>
      <c r="F797" s="26"/>
      <c r="G797" s="26"/>
      <c r="H797" s="26"/>
      <c r="I797" s="26"/>
      <c r="J797" s="27" t="s">
        <v>2056</v>
      </c>
      <c r="K797" s="27"/>
      <c r="L797" s="27"/>
      <c r="M797" s="27"/>
      <c r="N797" s="28">
        <f>230</f>
        <v>230</v>
      </c>
      <c r="O797" s="28"/>
      <c r="P797" s="28"/>
      <c r="Q797" s="27" t="s">
        <v>2032</v>
      </c>
      <c r="R797" s="27"/>
      <c r="S797" s="29" t="s">
        <v>2032</v>
      </c>
      <c r="T797" s="29"/>
      <c r="U797" s="29"/>
      <c r="V797" s="29"/>
      <c r="W797" s="30" t="s">
        <v>2032</v>
      </c>
      <c r="X797" s="29" t="s">
        <v>2032</v>
      </c>
      <c r="Y797" s="29"/>
      <c r="Z797" s="29"/>
      <c r="AA797" s="29"/>
      <c r="AB797" s="27" t="s">
        <v>2056</v>
      </c>
      <c r="AC797" s="27"/>
      <c r="AD797" s="27"/>
      <c r="AE797" s="31">
        <f>230</f>
        <v>230</v>
      </c>
      <c r="AF797" s="31"/>
      <c r="AG797" s="31"/>
    </row>
    <row r="798" spans="1:33" s="1" customFormat="1" ht="33" customHeight="1">
      <c r="A798" s="24" t="s">
        <v>700</v>
      </c>
      <c r="B798" s="25" t="s">
        <v>701</v>
      </c>
      <c r="C798" s="25"/>
      <c r="D798" s="25"/>
      <c r="E798" s="26" t="s">
        <v>702</v>
      </c>
      <c r="F798" s="26"/>
      <c r="G798" s="26"/>
      <c r="H798" s="26"/>
      <c r="I798" s="26"/>
      <c r="J798" s="27" t="s">
        <v>2059</v>
      </c>
      <c r="K798" s="27"/>
      <c r="L798" s="27"/>
      <c r="M798" s="27"/>
      <c r="N798" s="28">
        <f>1950</f>
        <v>1950</v>
      </c>
      <c r="O798" s="28"/>
      <c r="P798" s="28"/>
      <c r="Q798" s="27" t="s">
        <v>2032</v>
      </c>
      <c r="R798" s="27"/>
      <c r="S798" s="29" t="s">
        <v>2032</v>
      </c>
      <c r="T798" s="29"/>
      <c r="U798" s="29"/>
      <c r="V798" s="29"/>
      <c r="W798" s="30" t="s">
        <v>2032</v>
      </c>
      <c r="X798" s="29" t="s">
        <v>2032</v>
      </c>
      <c r="Y798" s="29"/>
      <c r="Z798" s="29"/>
      <c r="AA798" s="29"/>
      <c r="AB798" s="27" t="s">
        <v>2059</v>
      </c>
      <c r="AC798" s="27"/>
      <c r="AD798" s="27"/>
      <c r="AE798" s="31">
        <f>1950</f>
        <v>1950</v>
      </c>
      <c r="AF798" s="31"/>
      <c r="AG798" s="31"/>
    </row>
    <row r="799" spans="1:33" s="1" customFormat="1" ht="33" customHeight="1">
      <c r="A799" s="24" t="s">
        <v>703</v>
      </c>
      <c r="B799" s="25" t="s">
        <v>704</v>
      </c>
      <c r="C799" s="25"/>
      <c r="D799" s="25"/>
      <c r="E799" s="26" t="s">
        <v>705</v>
      </c>
      <c r="F799" s="26"/>
      <c r="G799" s="26"/>
      <c r="H799" s="26"/>
      <c r="I799" s="26"/>
      <c r="J799" s="27" t="s">
        <v>2056</v>
      </c>
      <c r="K799" s="27"/>
      <c r="L799" s="27"/>
      <c r="M799" s="27"/>
      <c r="N799" s="28">
        <f>310</f>
        <v>310</v>
      </c>
      <c r="O799" s="28"/>
      <c r="P799" s="28"/>
      <c r="Q799" s="27" t="s">
        <v>2032</v>
      </c>
      <c r="R799" s="27"/>
      <c r="S799" s="29" t="s">
        <v>2032</v>
      </c>
      <c r="T799" s="29"/>
      <c r="U799" s="29"/>
      <c r="V799" s="29"/>
      <c r="W799" s="30" t="s">
        <v>2032</v>
      </c>
      <c r="X799" s="29" t="s">
        <v>2032</v>
      </c>
      <c r="Y799" s="29"/>
      <c r="Z799" s="29"/>
      <c r="AA799" s="29"/>
      <c r="AB799" s="27" t="s">
        <v>2056</v>
      </c>
      <c r="AC799" s="27"/>
      <c r="AD799" s="27"/>
      <c r="AE799" s="31">
        <f>310</f>
        <v>310</v>
      </c>
      <c r="AF799" s="31"/>
      <c r="AG799" s="31"/>
    </row>
    <row r="800" spans="1:33" s="1" customFormat="1" ht="33" customHeight="1">
      <c r="A800" s="24" t="s">
        <v>706</v>
      </c>
      <c r="B800" s="25" t="s">
        <v>707</v>
      </c>
      <c r="C800" s="25"/>
      <c r="D800" s="25"/>
      <c r="E800" s="26" t="s">
        <v>708</v>
      </c>
      <c r="F800" s="26"/>
      <c r="G800" s="26"/>
      <c r="H800" s="26"/>
      <c r="I800" s="26"/>
      <c r="J800" s="27" t="s">
        <v>2056</v>
      </c>
      <c r="K800" s="27"/>
      <c r="L800" s="27"/>
      <c r="M800" s="27"/>
      <c r="N800" s="28">
        <f>108.91</f>
        <v>108.91</v>
      </c>
      <c r="O800" s="28"/>
      <c r="P800" s="28"/>
      <c r="Q800" s="27" t="s">
        <v>2032</v>
      </c>
      <c r="R800" s="27"/>
      <c r="S800" s="29" t="s">
        <v>2032</v>
      </c>
      <c r="T800" s="29"/>
      <c r="U800" s="29"/>
      <c r="V800" s="29"/>
      <c r="W800" s="30" t="s">
        <v>2032</v>
      </c>
      <c r="X800" s="29" t="s">
        <v>2032</v>
      </c>
      <c r="Y800" s="29"/>
      <c r="Z800" s="29"/>
      <c r="AA800" s="29"/>
      <c r="AB800" s="27" t="s">
        <v>2056</v>
      </c>
      <c r="AC800" s="27"/>
      <c r="AD800" s="27"/>
      <c r="AE800" s="31">
        <f>108.91</f>
        <v>108.91</v>
      </c>
      <c r="AF800" s="31"/>
      <c r="AG800" s="31"/>
    </row>
    <row r="801" spans="1:33" s="1" customFormat="1" ht="46.5" customHeight="1">
      <c r="A801" s="24" t="s">
        <v>709</v>
      </c>
      <c r="B801" s="25" t="s">
        <v>710</v>
      </c>
      <c r="C801" s="25"/>
      <c r="D801" s="25"/>
      <c r="E801" s="26" t="s">
        <v>711</v>
      </c>
      <c r="F801" s="26"/>
      <c r="G801" s="26"/>
      <c r="H801" s="26"/>
      <c r="I801" s="26"/>
      <c r="J801" s="27" t="s">
        <v>2056</v>
      </c>
      <c r="K801" s="27"/>
      <c r="L801" s="27"/>
      <c r="M801" s="27"/>
      <c r="N801" s="28">
        <f>325</f>
        <v>325</v>
      </c>
      <c r="O801" s="28"/>
      <c r="P801" s="28"/>
      <c r="Q801" s="27" t="s">
        <v>2032</v>
      </c>
      <c r="R801" s="27"/>
      <c r="S801" s="29" t="s">
        <v>2032</v>
      </c>
      <c r="T801" s="29"/>
      <c r="U801" s="29"/>
      <c r="V801" s="29"/>
      <c r="W801" s="30" t="s">
        <v>2032</v>
      </c>
      <c r="X801" s="29" t="s">
        <v>2032</v>
      </c>
      <c r="Y801" s="29"/>
      <c r="Z801" s="29"/>
      <c r="AA801" s="29"/>
      <c r="AB801" s="27" t="s">
        <v>2056</v>
      </c>
      <c r="AC801" s="27"/>
      <c r="AD801" s="27"/>
      <c r="AE801" s="31">
        <f>325</f>
        <v>325</v>
      </c>
      <c r="AF801" s="31"/>
      <c r="AG801" s="31"/>
    </row>
    <row r="802" spans="1:33" s="1" customFormat="1" ht="33" customHeight="1">
      <c r="A802" s="24" t="s">
        <v>712</v>
      </c>
      <c r="B802" s="25" t="s">
        <v>713</v>
      </c>
      <c r="C802" s="25"/>
      <c r="D802" s="25"/>
      <c r="E802" s="26" t="s">
        <v>714</v>
      </c>
      <c r="F802" s="26"/>
      <c r="G802" s="26"/>
      <c r="H802" s="26"/>
      <c r="I802" s="26"/>
      <c r="J802" s="27" t="s">
        <v>2056</v>
      </c>
      <c r="K802" s="27"/>
      <c r="L802" s="27"/>
      <c r="M802" s="27"/>
      <c r="N802" s="28">
        <f>1280</f>
        <v>1280</v>
      </c>
      <c r="O802" s="28"/>
      <c r="P802" s="28"/>
      <c r="Q802" s="27" t="s">
        <v>2032</v>
      </c>
      <c r="R802" s="27"/>
      <c r="S802" s="29" t="s">
        <v>2032</v>
      </c>
      <c r="T802" s="29"/>
      <c r="U802" s="29"/>
      <c r="V802" s="29"/>
      <c r="W802" s="30" t="s">
        <v>2032</v>
      </c>
      <c r="X802" s="29" t="s">
        <v>2032</v>
      </c>
      <c r="Y802" s="29"/>
      <c r="Z802" s="29"/>
      <c r="AA802" s="29"/>
      <c r="AB802" s="27" t="s">
        <v>2056</v>
      </c>
      <c r="AC802" s="27"/>
      <c r="AD802" s="27"/>
      <c r="AE802" s="31">
        <f>1280</f>
        <v>1280</v>
      </c>
      <c r="AF802" s="31"/>
      <c r="AG802" s="31"/>
    </row>
    <row r="803" spans="1:33" s="1" customFormat="1" ht="33" customHeight="1">
      <c r="A803" s="24" t="s">
        <v>715</v>
      </c>
      <c r="B803" s="25" t="s">
        <v>716</v>
      </c>
      <c r="C803" s="25"/>
      <c r="D803" s="25"/>
      <c r="E803" s="26" t="s">
        <v>714</v>
      </c>
      <c r="F803" s="26"/>
      <c r="G803" s="26"/>
      <c r="H803" s="26"/>
      <c r="I803" s="26"/>
      <c r="J803" s="27" t="s">
        <v>2056</v>
      </c>
      <c r="K803" s="27"/>
      <c r="L803" s="27"/>
      <c r="M803" s="27"/>
      <c r="N803" s="28">
        <f>1280</f>
        <v>1280</v>
      </c>
      <c r="O803" s="28"/>
      <c r="P803" s="28"/>
      <c r="Q803" s="27" t="s">
        <v>2032</v>
      </c>
      <c r="R803" s="27"/>
      <c r="S803" s="29" t="s">
        <v>2032</v>
      </c>
      <c r="T803" s="29"/>
      <c r="U803" s="29"/>
      <c r="V803" s="29"/>
      <c r="W803" s="30" t="s">
        <v>2032</v>
      </c>
      <c r="X803" s="29" t="s">
        <v>2032</v>
      </c>
      <c r="Y803" s="29"/>
      <c r="Z803" s="29"/>
      <c r="AA803" s="29"/>
      <c r="AB803" s="27" t="s">
        <v>2056</v>
      </c>
      <c r="AC803" s="27"/>
      <c r="AD803" s="27"/>
      <c r="AE803" s="31">
        <f>1280</f>
        <v>1280</v>
      </c>
      <c r="AF803" s="31"/>
      <c r="AG803" s="31"/>
    </row>
    <row r="804" spans="1:33" s="1" customFormat="1" ht="18.75" customHeight="1">
      <c r="A804" s="24" t="s">
        <v>717</v>
      </c>
      <c r="B804" s="25" t="s">
        <v>718</v>
      </c>
      <c r="C804" s="25"/>
      <c r="D804" s="25"/>
      <c r="E804" s="26" t="s">
        <v>719</v>
      </c>
      <c r="F804" s="26"/>
      <c r="G804" s="26"/>
      <c r="H804" s="26"/>
      <c r="I804" s="26"/>
      <c r="J804" s="27" t="s">
        <v>2058</v>
      </c>
      <c r="K804" s="27"/>
      <c r="L804" s="27"/>
      <c r="M804" s="27"/>
      <c r="N804" s="28">
        <f>331.7</f>
        <v>331.7</v>
      </c>
      <c r="O804" s="28"/>
      <c r="P804" s="28"/>
      <c r="Q804" s="27" t="s">
        <v>2032</v>
      </c>
      <c r="R804" s="27"/>
      <c r="S804" s="29" t="s">
        <v>2032</v>
      </c>
      <c r="T804" s="29"/>
      <c r="U804" s="29"/>
      <c r="V804" s="29"/>
      <c r="W804" s="30" t="s">
        <v>2032</v>
      </c>
      <c r="X804" s="29" t="s">
        <v>2032</v>
      </c>
      <c r="Y804" s="29"/>
      <c r="Z804" s="29"/>
      <c r="AA804" s="29"/>
      <c r="AB804" s="27" t="s">
        <v>2058</v>
      </c>
      <c r="AC804" s="27"/>
      <c r="AD804" s="27"/>
      <c r="AE804" s="31">
        <f>331.7</f>
        <v>331.7</v>
      </c>
      <c r="AF804" s="31"/>
      <c r="AG804" s="31"/>
    </row>
    <row r="805" spans="1:33" s="1" customFormat="1" ht="18.75" customHeight="1">
      <c r="A805" s="24" t="s">
        <v>720</v>
      </c>
      <c r="B805" s="25" t="s">
        <v>721</v>
      </c>
      <c r="C805" s="25"/>
      <c r="D805" s="25"/>
      <c r="E805" s="26" t="s">
        <v>722</v>
      </c>
      <c r="F805" s="26"/>
      <c r="G805" s="26"/>
      <c r="H805" s="26"/>
      <c r="I805" s="26"/>
      <c r="J805" s="27" t="s">
        <v>2057</v>
      </c>
      <c r="K805" s="27"/>
      <c r="L805" s="27"/>
      <c r="M805" s="27"/>
      <c r="N805" s="28">
        <f>138.82</f>
        <v>138.82</v>
      </c>
      <c r="O805" s="28"/>
      <c r="P805" s="28"/>
      <c r="Q805" s="27" t="s">
        <v>2032</v>
      </c>
      <c r="R805" s="27"/>
      <c r="S805" s="29" t="s">
        <v>2032</v>
      </c>
      <c r="T805" s="29"/>
      <c r="U805" s="29"/>
      <c r="V805" s="29"/>
      <c r="W805" s="30" t="s">
        <v>2032</v>
      </c>
      <c r="X805" s="29" t="s">
        <v>2032</v>
      </c>
      <c r="Y805" s="29"/>
      <c r="Z805" s="29"/>
      <c r="AA805" s="29"/>
      <c r="AB805" s="27" t="s">
        <v>2057</v>
      </c>
      <c r="AC805" s="27"/>
      <c r="AD805" s="27"/>
      <c r="AE805" s="31">
        <f>138.82</f>
        <v>138.82</v>
      </c>
      <c r="AF805" s="31"/>
      <c r="AG805" s="31"/>
    </row>
    <row r="806" spans="1:33" s="1" customFormat="1" ht="18.75" customHeight="1">
      <c r="A806" s="24" t="s">
        <v>723</v>
      </c>
      <c r="B806" s="25" t="s">
        <v>724</v>
      </c>
      <c r="C806" s="25"/>
      <c r="D806" s="25"/>
      <c r="E806" s="26" t="s">
        <v>725</v>
      </c>
      <c r="F806" s="26"/>
      <c r="G806" s="26"/>
      <c r="H806" s="26"/>
      <c r="I806" s="26"/>
      <c r="J806" s="27" t="s">
        <v>2059</v>
      </c>
      <c r="K806" s="27"/>
      <c r="L806" s="27"/>
      <c r="M806" s="27"/>
      <c r="N806" s="28">
        <f>100</f>
        <v>100</v>
      </c>
      <c r="O806" s="28"/>
      <c r="P806" s="28"/>
      <c r="Q806" s="27" t="s">
        <v>2032</v>
      </c>
      <c r="R806" s="27"/>
      <c r="S806" s="29" t="s">
        <v>2032</v>
      </c>
      <c r="T806" s="29"/>
      <c r="U806" s="29"/>
      <c r="V806" s="29"/>
      <c r="W806" s="30" t="s">
        <v>2032</v>
      </c>
      <c r="X806" s="29" t="s">
        <v>2032</v>
      </c>
      <c r="Y806" s="29"/>
      <c r="Z806" s="29"/>
      <c r="AA806" s="29"/>
      <c r="AB806" s="27" t="s">
        <v>2059</v>
      </c>
      <c r="AC806" s="27"/>
      <c r="AD806" s="27"/>
      <c r="AE806" s="31">
        <f>100</f>
        <v>100</v>
      </c>
      <c r="AF806" s="31"/>
      <c r="AG806" s="31"/>
    </row>
    <row r="807" spans="1:33" s="1" customFormat="1" ht="18.75" customHeight="1">
      <c r="A807" s="24" t="s">
        <v>726</v>
      </c>
      <c r="B807" s="25" t="s">
        <v>3356</v>
      </c>
      <c r="C807" s="25"/>
      <c r="D807" s="25"/>
      <c r="E807" s="26" t="s">
        <v>727</v>
      </c>
      <c r="F807" s="26"/>
      <c r="G807" s="26"/>
      <c r="H807" s="26"/>
      <c r="I807" s="26"/>
      <c r="J807" s="27" t="s">
        <v>2056</v>
      </c>
      <c r="K807" s="27"/>
      <c r="L807" s="27"/>
      <c r="M807" s="27"/>
      <c r="N807" s="28">
        <f>292.25</f>
        <v>292.25</v>
      </c>
      <c r="O807" s="28"/>
      <c r="P807" s="28"/>
      <c r="Q807" s="27" t="s">
        <v>2032</v>
      </c>
      <c r="R807" s="27"/>
      <c r="S807" s="29" t="s">
        <v>2032</v>
      </c>
      <c r="T807" s="29"/>
      <c r="U807" s="29"/>
      <c r="V807" s="29"/>
      <c r="W807" s="30" t="s">
        <v>2032</v>
      </c>
      <c r="X807" s="29" t="s">
        <v>2032</v>
      </c>
      <c r="Y807" s="29"/>
      <c r="Z807" s="29"/>
      <c r="AA807" s="29"/>
      <c r="AB807" s="27" t="s">
        <v>2056</v>
      </c>
      <c r="AC807" s="27"/>
      <c r="AD807" s="27"/>
      <c r="AE807" s="31">
        <f>292.25</f>
        <v>292.25</v>
      </c>
      <c r="AF807" s="31"/>
      <c r="AG807" s="31"/>
    </row>
    <row r="808" spans="1:33" s="1" customFormat="1" ht="18.75" customHeight="1">
      <c r="A808" s="24" t="s">
        <v>728</v>
      </c>
      <c r="B808" s="25" t="s">
        <v>729</v>
      </c>
      <c r="C808" s="25"/>
      <c r="D808" s="25"/>
      <c r="E808" s="26" t="s">
        <v>727</v>
      </c>
      <c r="F808" s="26"/>
      <c r="G808" s="26"/>
      <c r="H808" s="26"/>
      <c r="I808" s="26"/>
      <c r="J808" s="27" t="s">
        <v>2065</v>
      </c>
      <c r="K808" s="27"/>
      <c r="L808" s="27"/>
      <c r="M808" s="27"/>
      <c r="N808" s="28">
        <f>730.6</f>
        <v>730.6</v>
      </c>
      <c r="O808" s="28"/>
      <c r="P808" s="28"/>
      <c r="Q808" s="27" t="s">
        <v>2032</v>
      </c>
      <c r="R808" s="27"/>
      <c r="S808" s="29" t="s">
        <v>2032</v>
      </c>
      <c r="T808" s="29"/>
      <c r="U808" s="29"/>
      <c r="V808" s="29"/>
      <c r="W808" s="30" t="s">
        <v>2032</v>
      </c>
      <c r="X808" s="29" t="s">
        <v>2032</v>
      </c>
      <c r="Y808" s="29"/>
      <c r="Z808" s="29"/>
      <c r="AA808" s="29"/>
      <c r="AB808" s="27" t="s">
        <v>2065</v>
      </c>
      <c r="AC808" s="27"/>
      <c r="AD808" s="27"/>
      <c r="AE808" s="31">
        <f>730.6</f>
        <v>730.6</v>
      </c>
      <c r="AF808" s="31"/>
      <c r="AG808" s="31"/>
    </row>
    <row r="809" spans="1:33" s="1" customFormat="1" ht="33" customHeight="1">
      <c r="A809" s="24" t="s">
        <v>730</v>
      </c>
      <c r="B809" s="25" t="s">
        <v>731</v>
      </c>
      <c r="C809" s="25"/>
      <c r="D809" s="25"/>
      <c r="E809" s="26" t="s">
        <v>732</v>
      </c>
      <c r="F809" s="26"/>
      <c r="G809" s="26"/>
      <c r="H809" s="26"/>
      <c r="I809" s="26"/>
      <c r="J809" s="27" t="s">
        <v>2056</v>
      </c>
      <c r="K809" s="27"/>
      <c r="L809" s="27"/>
      <c r="M809" s="27"/>
      <c r="N809" s="28">
        <f>3980</f>
        <v>3980</v>
      </c>
      <c r="O809" s="28"/>
      <c r="P809" s="28"/>
      <c r="Q809" s="27" t="s">
        <v>2032</v>
      </c>
      <c r="R809" s="27"/>
      <c r="S809" s="29" t="s">
        <v>2032</v>
      </c>
      <c r="T809" s="29"/>
      <c r="U809" s="29"/>
      <c r="V809" s="29"/>
      <c r="W809" s="30" t="s">
        <v>2032</v>
      </c>
      <c r="X809" s="29" t="s">
        <v>2032</v>
      </c>
      <c r="Y809" s="29"/>
      <c r="Z809" s="29"/>
      <c r="AA809" s="29"/>
      <c r="AB809" s="27" t="s">
        <v>2056</v>
      </c>
      <c r="AC809" s="27"/>
      <c r="AD809" s="27"/>
      <c r="AE809" s="31">
        <f>3980</f>
        <v>3980</v>
      </c>
      <c r="AF809" s="31"/>
      <c r="AG809" s="31"/>
    </row>
    <row r="810" spans="1:33" s="1" customFormat="1" ht="18.75" customHeight="1">
      <c r="A810" s="24" t="s">
        <v>733</v>
      </c>
      <c r="B810" s="25" t="s">
        <v>734</v>
      </c>
      <c r="C810" s="25"/>
      <c r="D810" s="25"/>
      <c r="E810" s="26" t="s">
        <v>735</v>
      </c>
      <c r="F810" s="26"/>
      <c r="G810" s="26"/>
      <c r="H810" s="26"/>
      <c r="I810" s="26"/>
      <c r="J810" s="27" t="s">
        <v>2056</v>
      </c>
      <c r="K810" s="27"/>
      <c r="L810" s="27"/>
      <c r="M810" s="27"/>
      <c r="N810" s="28">
        <f>325</f>
        <v>325</v>
      </c>
      <c r="O810" s="28"/>
      <c r="P810" s="28"/>
      <c r="Q810" s="27" t="s">
        <v>2032</v>
      </c>
      <c r="R810" s="27"/>
      <c r="S810" s="29" t="s">
        <v>2032</v>
      </c>
      <c r="T810" s="29"/>
      <c r="U810" s="29"/>
      <c r="V810" s="29"/>
      <c r="W810" s="30" t="s">
        <v>2032</v>
      </c>
      <c r="X810" s="29" t="s">
        <v>2032</v>
      </c>
      <c r="Y810" s="29"/>
      <c r="Z810" s="29"/>
      <c r="AA810" s="29"/>
      <c r="AB810" s="27" t="s">
        <v>2056</v>
      </c>
      <c r="AC810" s="27"/>
      <c r="AD810" s="27"/>
      <c r="AE810" s="31">
        <f>325</f>
        <v>325</v>
      </c>
      <c r="AF810" s="31"/>
      <c r="AG810" s="31"/>
    </row>
    <row r="811" spans="1:33" s="1" customFormat="1" ht="18.75" customHeight="1">
      <c r="A811" s="24" t="s">
        <v>736</v>
      </c>
      <c r="B811" s="25" t="s">
        <v>737</v>
      </c>
      <c r="C811" s="25"/>
      <c r="D811" s="25"/>
      <c r="E811" s="26" t="s">
        <v>738</v>
      </c>
      <c r="F811" s="26"/>
      <c r="G811" s="26"/>
      <c r="H811" s="26"/>
      <c r="I811" s="26"/>
      <c r="J811" s="27" t="s">
        <v>2056</v>
      </c>
      <c r="K811" s="27"/>
      <c r="L811" s="27"/>
      <c r="M811" s="27"/>
      <c r="N811" s="28">
        <f>325</f>
        <v>325</v>
      </c>
      <c r="O811" s="28"/>
      <c r="P811" s="28"/>
      <c r="Q811" s="27" t="s">
        <v>2032</v>
      </c>
      <c r="R811" s="27"/>
      <c r="S811" s="29" t="s">
        <v>2032</v>
      </c>
      <c r="T811" s="29"/>
      <c r="U811" s="29"/>
      <c r="V811" s="29"/>
      <c r="W811" s="30" t="s">
        <v>2032</v>
      </c>
      <c r="X811" s="29" t="s">
        <v>2032</v>
      </c>
      <c r="Y811" s="29"/>
      <c r="Z811" s="29"/>
      <c r="AA811" s="29"/>
      <c r="AB811" s="27" t="s">
        <v>2056</v>
      </c>
      <c r="AC811" s="27"/>
      <c r="AD811" s="27"/>
      <c r="AE811" s="31">
        <f>325</f>
        <v>325</v>
      </c>
      <c r="AF811" s="31"/>
      <c r="AG811" s="31"/>
    </row>
    <row r="812" spans="1:33" s="1" customFormat="1" ht="18.75" customHeight="1">
      <c r="A812" s="24" t="s">
        <v>739</v>
      </c>
      <c r="B812" s="25" t="s">
        <v>740</v>
      </c>
      <c r="C812" s="25"/>
      <c r="D812" s="25"/>
      <c r="E812" s="26" t="s">
        <v>741</v>
      </c>
      <c r="F812" s="26"/>
      <c r="G812" s="26"/>
      <c r="H812" s="26"/>
      <c r="I812" s="26"/>
      <c r="J812" s="27" t="s">
        <v>2056</v>
      </c>
      <c r="K812" s="27"/>
      <c r="L812" s="27"/>
      <c r="M812" s="27"/>
      <c r="N812" s="28">
        <f>438.38</f>
        <v>438.38</v>
      </c>
      <c r="O812" s="28"/>
      <c r="P812" s="28"/>
      <c r="Q812" s="27" t="s">
        <v>2032</v>
      </c>
      <c r="R812" s="27"/>
      <c r="S812" s="29" t="s">
        <v>2032</v>
      </c>
      <c r="T812" s="29"/>
      <c r="U812" s="29"/>
      <c r="V812" s="29"/>
      <c r="W812" s="30" t="s">
        <v>2032</v>
      </c>
      <c r="X812" s="29" t="s">
        <v>2032</v>
      </c>
      <c r="Y812" s="29"/>
      <c r="Z812" s="29"/>
      <c r="AA812" s="29"/>
      <c r="AB812" s="27" t="s">
        <v>2056</v>
      </c>
      <c r="AC812" s="27"/>
      <c r="AD812" s="27"/>
      <c r="AE812" s="31">
        <f>438.38</f>
        <v>438.38</v>
      </c>
      <c r="AF812" s="31"/>
      <c r="AG812" s="31"/>
    </row>
    <row r="813" spans="1:33" s="1" customFormat="1" ht="33" customHeight="1">
      <c r="A813" s="24" t="s">
        <v>742</v>
      </c>
      <c r="B813" s="25" t="s">
        <v>3042</v>
      </c>
      <c r="C813" s="25"/>
      <c r="D813" s="25"/>
      <c r="E813" s="26" t="s">
        <v>743</v>
      </c>
      <c r="F813" s="26"/>
      <c r="G813" s="26"/>
      <c r="H813" s="26"/>
      <c r="I813" s="26"/>
      <c r="J813" s="27" t="s">
        <v>2056</v>
      </c>
      <c r="K813" s="27"/>
      <c r="L813" s="27"/>
      <c r="M813" s="27"/>
      <c r="N813" s="28">
        <f>73.06</f>
        <v>73.06</v>
      </c>
      <c r="O813" s="28"/>
      <c r="P813" s="28"/>
      <c r="Q813" s="27" t="s">
        <v>2032</v>
      </c>
      <c r="R813" s="27"/>
      <c r="S813" s="29" t="s">
        <v>2032</v>
      </c>
      <c r="T813" s="29"/>
      <c r="U813" s="29"/>
      <c r="V813" s="29"/>
      <c r="W813" s="30" t="s">
        <v>2032</v>
      </c>
      <c r="X813" s="29" t="s">
        <v>2032</v>
      </c>
      <c r="Y813" s="29"/>
      <c r="Z813" s="29"/>
      <c r="AA813" s="29"/>
      <c r="AB813" s="27" t="s">
        <v>2056</v>
      </c>
      <c r="AC813" s="27"/>
      <c r="AD813" s="27"/>
      <c r="AE813" s="31">
        <f>73.06</f>
        <v>73.06</v>
      </c>
      <c r="AF813" s="31"/>
      <c r="AG813" s="31"/>
    </row>
    <row r="814" spans="1:33" s="1" customFormat="1" ht="18.75" customHeight="1">
      <c r="A814" s="24" t="s">
        <v>744</v>
      </c>
      <c r="B814" s="25" t="s">
        <v>745</v>
      </c>
      <c r="C814" s="25"/>
      <c r="D814" s="25"/>
      <c r="E814" s="26" t="s">
        <v>746</v>
      </c>
      <c r="F814" s="26"/>
      <c r="G814" s="26"/>
      <c r="H814" s="26"/>
      <c r="I814" s="26"/>
      <c r="J814" s="27" t="s">
        <v>2056</v>
      </c>
      <c r="K814" s="27"/>
      <c r="L814" s="27"/>
      <c r="M814" s="27"/>
      <c r="N814" s="28">
        <f>73.06</f>
        <v>73.06</v>
      </c>
      <c r="O814" s="28"/>
      <c r="P814" s="28"/>
      <c r="Q814" s="27" t="s">
        <v>2032</v>
      </c>
      <c r="R814" s="27"/>
      <c r="S814" s="29" t="s">
        <v>2032</v>
      </c>
      <c r="T814" s="29"/>
      <c r="U814" s="29"/>
      <c r="V814" s="29"/>
      <c r="W814" s="30" t="s">
        <v>2032</v>
      </c>
      <c r="X814" s="29" t="s">
        <v>2032</v>
      </c>
      <c r="Y814" s="29"/>
      <c r="Z814" s="29"/>
      <c r="AA814" s="29"/>
      <c r="AB814" s="27" t="s">
        <v>2056</v>
      </c>
      <c r="AC814" s="27"/>
      <c r="AD814" s="27"/>
      <c r="AE814" s="31">
        <f>73.06</f>
        <v>73.06</v>
      </c>
      <c r="AF814" s="31"/>
      <c r="AG814" s="31"/>
    </row>
    <row r="815" spans="1:33" s="1" customFormat="1" ht="18.75" customHeight="1">
      <c r="A815" s="24" t="s">
        <v>747</v>
      </c>
      <c r="B815" s="25" t="s">
        <v>748</v>
      </c>
      <c r="C815" s="25"/>
      <c r="D815" s="25"/>
      <c r="E815" s="26" t="s">
        <v>749</v>
      </c>
      <c r="F815" s="26"/>
      <c r="G815" s="26"/>
      <c r="H815" s="26"/>
      <c r="I815" s="26"/>
      <c r="J815" s="27" t="s">
        <v>2056</v>
      </c>
      <c r="K815" s="27"/>
      <c r="L815" s="27"/>
      <c r="M815" s="27"/>
      <c r="N815" s="28">
        <f>73.06</f>
        <v>73.06</v>
      </c>
      <c r="O815" s="28"/>
      <c r="P815" s="28"/>
      <c r="Q815" s="27" t="s">
        <v>2032</v>
      </c>
      <c r="R815" s="27"/>
      <c r="S815" s="29" t="s">
        <v>2032</v>
      </c>
      <c r="T815" s="29"/>
      <c r="U815" s="29"/>
      <c r="V815" s="29"/>
      <c r="W815" s="30" t="s">
        <v>2032</v>
      </c>
      <c r="X815" s="29" t="s">
        <v>2032</v>
      </c>
      <c r="Y815" s="29"/>
      <c r="Z815" s="29"/>
      <c r="AA815" s="29"/>
      <c r="AB815" s="27" t="s">
        <v>2056</v>
      </c>
      <c r="AC815" s="27"/>
      <c r="AD815" s="27"/>
      <c r="AE815" s="31">
        <f>73.06</f>
        <v>73.06</v>
      </c>
      <c r="AF815" s="31"/>
      <c r="AG815" s="31"/>
    </row>
    <row r="816" spans="1:33" s="1" customFormat="1" ht="18.75" customHeight="1">
      <c r="A816" s="24" t="s">
        <v>750</v>
      </c>
      <c r="B816" s="25" t="s">
        <v>751</v>
      </c>
      <c r="C816" s="25"/>
      <c r="D816" s="25"/>
      <c r="E816" s="26" t="s">
        <v>752</v>
      </c>
      <c r="F816" s="26"/>
      <c r="G816" s="26"/>
      <c r="H816" s="26"/>
      <c r="I816" s="26"/>
      <c r="J816" s="27" t="s">
        <v>2056</v>
      </c>
      <c r="K816" s="27"/>
      <c r="L816" s="27"/>
      <c r="M816" s="27"/>
      <c r="N816" s="28">
        <f>146.13</f>
        <v>146.13</v>
      </c>
      <c r="O816" s="28"/>
      <c r="P816" s="28"/>
      <c r="Q816" s="27" t="s">
        <v>2032</v>
      </c>
      <c r="R816" s="27"/>
      <c r="S816" s="29" t="s">
        <v>2032</v>
      </c>
      <c r="T816" s="29"/>
      <c r="U816" s="29"/>
      <c r="V816" s="29"/>
      <c r="W816" s="30" t="s">
        <v>2032</v>
      </c>
      <c r="X816" s="29" t="s">
        <v>2032</v>
      </c>
      <c r="Y816" s="29"/>
      <c r="Z816" s="29"/>
      <c r="AA816" s="29"/>
      <c r="AB816" s="27" t="s">
        <v>2056</v>
      </c>
      <c r="AC816" s="27"/>
      <c r="AD816" s="27"/>
      <c r="AE816" s="31">
        <f>146.13</f>
        <v>146.13</v>
      </c>
      <c r="AF816" s="31"/>
      <c r="AG816" s="31"/>
    </row>
    <row r="817" spans="1:33" s="1" customFormat="1" ht="33" customHeight="1">
      <c r="A817" s="24" t="s">
        <v>753</v>
      </c>
      <c r="B817" s="25" t="s">
        <v>754</v>
      </c>
      <c r="C817" s="25"/>
      <c r="D817" s="25"/>
      <c r="E817" s="26" t="s">
        <v>755</v>
      </c>
      <c r="F817" s="26"/>
      <c r="G817" s="26"/>
      <c r="H817" s="26"/>
      <c r="I817" s="26"/>
      <c r="J817" s="27" t="s">
        <v>2058</v>
      </c>
      <c r="K817" s="27"/>
      <c r="L817" s="27"/>
      <c r="M817" s="27"/>
      <c r="N817" s="28">
        <f>876.75</f>
        <v>876.75</v>
      </c>
      <c r="O817" s="28"/>
      <c r="P817" s="28"/>
      <c r="Q817" s="27" t="s">
        <v>2032</v>
      </c>
      <c r="R817" s="27"/>
      <c r="S817" s="29" t="s">
        <v>2032</v>
      </c>
      <c r="T817" s="29"/>
      <c r="U817" s="29"/>
      <c r="V817" s="29"/>
      <c r="W817" s="30" t="s">
        <v>2032</v>
      </c>
      <c r="X817" s="29" t="s">
        <v>2032</v>
      </c>
      <c r="Y817" s="29"/>
      <c r="Z817" s="29"/>
      <c r="AA817" s="29"/>
      <c r="AB817" s="27" t="s">
        <v>2058</v>
      </c>
      <c r="AC817" s="27"/>
      <c r="AD817" s="27"/>
      <c r="AE817" s="31">
        <f>876.75</f>
        <v>876.75</v>
      </c>
      <c r="AF817" s="31"/>
      <c r="AG817" s="31"/>
    </row>
    <row r="818" spans="1:33" s="1" customFormat="1" ht="18.75" customHeight="1">
      <c r="A818" s="24" t="s">
        <v>756</v>
      </c>
      <c r="B818" s="25" t="s">
        <v>757</v>
      </c>
      <c r="C818" s="25"/>
      <c r="D818" s="25"/>
      <c r="E818" s="26" t="s">
        <v>758</v>
      </c>
      <c r="F818" s="26"/>
      <c r="G818" s="26"/>
      <c r="H818" s="26"/>
      <c r="I818" s="26"/>
      <c r="J818" s="27" t="s">
        <v>2056</v>
      </c>
      <c r="K818" s="27"/>
      <c r="L818" s="27"/>
      <c r="M818" s="27"/>
      <c r="N818" s="28">
        <f>73.06</f>
        <v>73.06</v>
      </c>
      <c r="O818" s="28"/>
      <c r="P818" s="28"/>
      <c r="Q818" s="27" t="s">
        <v>2032</v>
      </c>
      <c r="R818" s="27"/>
      <c r="S818" s="29" t="s">
        <v>2032</v>
      </c>
      <c r="T818" s="29"/>
      <c r="U818" s="29"/>
      <c r="V818" s="29"/>
      <c r="W818" s="30" t="s">
        <v>2032</v>
      </c>
      <c r="X818" s="29" t="s">
        <v>2032</v>
      </c>
      <c r="Y818" s="29"/>
      <c r="Z818" s="29"/>
      <c r="AA818" s="29"/>
      <c r="AB818" s="27" t="s">
        <v>2056</v>
      </c>
      <c r="AC818" s="27"/>
      <c r="AD818" s="27"/>
      <c r="AE818" s="31">
        <f>73.06</f>
        <v>73.06</v>
      </c>
      <c r="AF818" s="31"/>
      <c r="AG818" s="31"/>
    </row>
    <row r="819" spans="1:33" s="1" customFormat="1" ht="18.75" customHeight="1">
      <c r="A819" s="24" t="s">
        <v>759</v>
      </c>
      <c r="B819" s="25" t="s">
        <v>760</v>
      </c>
      <c r="C819" s="25"/>
      <c r="D819" s="25"/>
      <c r="E819" s="26" t="s">
        <v>761</v>
      </c>
      <c r="F819" s="26"/>
      <c r="G819" s="26"/>
      <c r="H819" s="26"/>
      <c r="I819" s="26"/>
      <c r="J819" s="27" t="s">
        <v>2056</v>
      </c>
      <c r="K819" s="27"/>
      <c r="L819" s="27"/>
      <c r="M819" s="27"/>
      <c r="N819" s="28">
        <f>23.19</f>
        <v>23.19</v>
      </c>
      <c r="O819" s="28"/>
      <c r="P819" s="28"/>
      <c r="Q819" s="27" t="s">
        <v>2032</v>
      </c>
      <c r="R819" s="27"/>
      <c r="S819" s="29" t="s">
        <v>2032</v>
      </c>
      <c r="T819" s="29"/>
      <c r="U819" s="29"/>
      <c r="V819" s="29"/>
      <c r="W819" s="30" t="s">
        <v>2032</v>
      </c>
      <c r="X819" s="29" t="s">
        <v>2032</v>
      </c>
      <c r="Y819" s="29"/>
      <c r="Z819" s="29"/>
      <c r="AA819" s="29"/>
      <c r="AB819" s="27" t="s">
        <v>2056</v>
      </c>
      <c r="AC819" s="27"/>
      <c r="AD819" s="27"/>
      <c r="AE819" s="31">
        <f>23.19</f>
        <v>23.19</v>
      </c>
      <c r="AF819" s="31"/>
      <c r="AG819" s="31"/>
    </row>
    <row r="820" spans="1:33" s="1" customFormat="1" ht="18.75" customHeight="1">
      <c r="A820" s="24" t="s">
        <v>762</v>
      </c>
      <c r="B820" s="25" t="s">
        <v>763</v>
      </c>
      <c r="C820" s="25"/>
      <c r="D820" s="25"/>
      <c r="E820" s="26" t="s">
        <v>764</v>
      </c>
      <c r="F820" s="26"/>
      <c r="G820" s="26"/>
      <c r="H820" s="26"/>
      <c r="I820" s="26"/>
      <c r="J820" s="27" t="s">
        <v>2056</v>
      </c>
      <c r="K820" s="27"/>
      <c r="L820" s="27"/>
      <c r="M820" s="27"/>
      <c r="N820" s="28">
        <f>73.06</f>
        <v>73.06</v>
      </c>
      <c r="O820" s="28"/>
      <c r="P820" s="28"/>
      <c r="Q820" s="27" t="s">
        <v>2032</v>
      </c>
      <c r="R820" s="27"/>
      <c r="S820" s="29" t="s">
        <v>2032</v>
      </c>
      <c r="T820" s="29"/>
      <c r="U820" s="29"/>
      <c r="V820" s="29"/>
      <c r="W820" s="30" t="s">
        <v>2032</v>
      </c>
      <c r="X820" s="29" t="s">
        <v>2032</v>
      </c>
      <c r="Y820" s="29"/>
      <c r="Z820" s="29"/>
      <c r="AA820" s="29"/>
      <c r="AB820" s="27" t="s">
        <v>2056</v>
      </c>
      <c r="AC820" s="27"/>
      <c r="AD820" s="27"/>
      <c r="AE820" s="31">
        <f>73.06</f>
        <v>73.06</v>
      </c>
      <c r="AF820" s="31"/>
      <c r="AG820" s="31"/>
    </row>
    <row r="821" spans="1:33" s="1" customFormat="1" ht="18.75" customHeight="1">
      <c r="A821" s="24" t="s">
        <v>765</v>
      </c>
      <c r="B821" s="25" t="s">
        <v>766</v>
      </c>
      <c r="C821" s="25"/>
      <c r="D821" s="25"/>
      <c r="E821" s="26" t="s">
        <v>767</v>
      </c>
      <c r="F821" s="26"/>
      <c r="G821" s="26"/>
      <c r="H821" s="26"/>
      <c r="I821" s="26"/>
      <c r="J821" s="27" t="s">
        <v>2056</v>
      </c>
      <c r="K821" s="27"/>
      <c r="L821" s="27"/>
      <c r="M821" s="27"/>
      <c r="N821" s="28">
        <f>73.06</f>
        <v>73.06</v>
      </c>
      <c r="O821" s="28"/>
      <c r="P821" s="28"/>
      <c r="Q821" s="27" t="s">
        <v>2032</v>
      </c>
      <c r="R821" s="27"/>
      <c r="S821" s="29" t="s">
        <v>2032</v>
      </c>
      <c r="T821" s="29"/>
      <c r="U821" s="29"/>
      <c r="V821" s="29"/>
      <c r="W821" s="30" t="s">
        <v>2032</v>
      </c>
      <c r="X821" s="29" t="s">
        <v>2032</v>
      </c>
      <c r="Y821" s="29"/>
      <c r="Z821" s="29"/>
      <c r="AA821" s="29"/>
      <c r="AB821" s="27" t="s">
        <v>2056</v>
      </c>
      <c r="AC821" s="27"/>
      <c r="AD821" s="27"/>
      <c r="AE821" s="31">
        <f>73.06</f>
        <v>73.06</v>
      </c>
      <c r="AF821" s="31"/>
      <c r="AG821" s="31"/>
    </row>
    <row r="822" spans="1:33" s="1" customFormat="1" ht="33" customHeight="1">
      <c r="A822" s="24" t="s">
        <v>768</v>
      </c>
      <c r="B822" s="25" t="s">
        <v>362</v>
      </c>
      <c r="C822" s="25"/>
      <c r="D822" s="25"/>
      <c r="E822" s="26" t="s">
        <v>769</v>
      </c>
      <c r="F822" s="26"/>
      <c r="G822" s="26"/>
      <c r="H822" s="26"/>
      <c r="I822" s="26"/>
      <c r="J822" s="27" t="s">
        <v>2065</v>
      </c>
      <c r="K822" s="27"/>
      <c r="L822" s="27"/>
      <c r="M822" s="27"/>
      <c r="N822" s="28">
        <f>5770</f>
        <v>5770</v>
      </c>
      <c r="O822" s="28"/>
      <c r="P822" s="28"/>
      <c r="Q822" s="27" t="s">
        <v>2032</v>
      </c>
      <c r="R822" s="27"/>
      <c r="S822" s="29" t="s">
        <v>2032</v>
      </c>
      <c r="T822" s="29"/>
      <c r="U822" s="29"/>
      <c r="V822" s="29"/>
      <c r="W822" s="30" t="s">
        <v>2032</v>
      </c>
      <c r="X822" s="29" t="s">
        <v>2032</v>
      </c>
      <c r="Y822" s="29"/>
      <c r="Z822" s="29"/>
      <c r="AA822" s="29"/>
      <c r="AB822" s="27" t="s">
        <v>2065</v>
      </c>
      <c r="AC822" s="27"/>
      <c r="AD822" s="27"/>
      <c r="AE822" s="31">
        <f>5770</f>
        <v>5770</v>
      </c>
      <c r="AF822" s="31"/>
      <c r="AG822" s="31"/>
    </row>
    <row r="823" spans="1:33" s="1" customFormat="1" ht="33" customHeight="1">
      <c r="A823" s="24" t="s">
        <v>770</v>
      </c>
      <c r="B823" s="25" t="s">
        <v>771</v>
      </c>
      <c r="C823" s="25"/>
      <c r="D823" s="25"/>
      <c r="E823" s="26" t="s">
        <v>772</v>
      </c>
      <c r="F823" s="26"/>
      <c r="G823" s="26"/>
      <c r="H823" s="26"/>
      <c r="I823" s="26"/>
      <c r="J823" s="27" t="s">
        <v>2057</v>
      </c>
      <c r="K823" s="27"/>
      <c r="L823" s="27"/>
      <c r="M823" s="27"/>
      <c r="N823" s="28">
        <f>146.12</f>
        <v>146.12</v>
      </c>
      <c r="O823" s="28"/>
      <c r="P823" s="28"/>
      <c r="Q823" s="27" t="s">
        <v>2032</v>
      </c>
      <c r="R823" s="27"/>
      <c r="S823" s="29" t="s">
        <v>2032</v>
      </c>
      <c r="T823" s="29"/>
      <c r="U823" s="29"/>
      <c r="V823" s="29"/>
      <c r="W823" s="30" t="s">
        <v>2032</v>
      </c>
      <c r="X823" s="29" t="s">
        <v>2032</v>
      </c>
      <c r="Y823" s="29"/>
      <c r="Z823" s="29"/>
      <c r="AA823" s="29"/>
      <c r="AB823" s="27" t="s">
        <v>2057</v>
      </c>
      <c r="AC823" s="27"/>
      <c r="AD823" s="27"/>
      <c r="AE823" s="31">
        <f>146.12</f>
        <v>146.12</v>
      </c>
      <c r="AF823" s="31"/>
      <c r="AG823" s="31"/>
    </row>
    <row r="824" spans="1:33" s="1" customFormat="1" ht="18.75" customHeight="1">
      <c r="A824" s="24" t="s">
        <v>773</v>
      </c>
      <c r="B824" s="25" t="s">
        <v>3063</v>
      </c>
      <c r="C824" s="25"/>
      <c r="D824" s="25"/>
      <c r="E824" s="26" t="s">
        <v>774</v>
      </c>
      <c r="F824" s="26"/>
      <c r="G824" s="26"/>
      <c r="H824" s="26"/>
      <c r="I824" s="26"/>
      <c r="J824" s="27" t="s">
        <v>2056</v>
      </c>
      <c r="K824" s="27"/>
      <c r="L824" s="27"/>
      <c r="M824" s="27"/>
      <c r="N824" s="28">
        <f>219.19</f>
        <v>219.19</v>
      </c>
      <c r="O824" s="28"/>
      <c r="P824" s="28"/>
      <c r="Q824" s="27" t="s">
        <v>2032</v>
      </c>
      <c r="R824" s="27"/>
      <c r="S824" s="29" t="s">
        <v>2032</v>
      </c>
      <c r="T824" s="29"/>
      <c r="U824" s="29"/>
      <c r="V824" s="29"/>
      <c r="W824" s="30" t="s">
        <v>2032</v>
      </c>
      <c r="X824" s="29" t="s">
        <v>2032</v>
      </c>
      <c r="Y824" s="29"/>
      <c r="Z824" s="29"/>
      <c r="AA824" s="29"/>
      <c r="AB824" s="27" t="s">
        <v>2056</v>
      </c>
      <c r="AC824" s="27"/>
      <c r="AD824" s="27"/>
      <c r="AE824" s="31">
        <f>219.19</f>
        <v>219.19</v>
      </c>
      <c r="AF824" s="31"/>
      <c r="AG824" s="31"/>
    </row>
    <row r="825" spans="1:33" s="1" customFormat="1" ht="18.75" customHeight="1">
      <c r="A825" s="24" t="s">
        <v>775</v>
      </c>
      <c r="B825" s="25" t="s">
        <v>776</v>
      </c>
      <c r="C825" s="25"/>
      <c r="D825" s="25"/>
      <c r="E825" s="26" t="s">
        <v>777</v>
      </c>
      <c r="F825" s="26"/>
      <c r="G825" s="26"/>
      <c r="H825" s="26"/>
      <c r="I825" s="26"/>
      <c r="J825" s="27" t="s">
        <v>2058</v>
      </c>
      <c r="K825" s="27"/>
      <c r="L825" s="27"/>
      <c r="M825" s="27"/>
      <c r="N825" s="28">
        <f>438.39</f>
        <v>438.39</v>
      </c>
      <c r="O825" s="28"/>
      <c r="P825" s="28"/>
      <c r="Q825" s="27" t="s">
        <v>2032</v>
      </c>
      <c r="R825" s="27"/>
      <c r="S825" s="29" t="s">
        <v>2032</v>
      </c>
      <c r="T825" s="29"/>
      <c r="U825" s="29"/>
      <c r="V825" s="29"/>
      <c r="W825" s="30" t="s">
        <v>2032</v>
      </c>
      <c r="X825" s="29" t="s">
        <v>2032</v>
      </c>
      <c r="Y825" s="29"/>
      <c r="Z825" s="29"/>
      <c r="AA825" s="29"/>
      <c r="AB825" s="27" t="s">
        <v>2058</v>
      </c>
      <c r="AC825" s="27"/>
      <c r="AD825" s="27"/>
      <c r="AE825" s="31">
        <f>438.39</f>
        <v>438.39</v>
      </c>
      <c r="AF825" s="31"/>
      <c r="AG825" s="31"/>
    </row>
    <row r="826" spans="1:33" s="1" customFormat="1" ht="18.75" customHeight="1">
      <c r="A826" s="24" t="s">
        <v>778</v>
      </c>
      <c r="B826" s="25" t="s">
        <v>779</v>
      </c>
      <c r="C826" s="25"/>
      <c r="D826" s="25"/>
      <c r="E826" s="26" t="s">
        <v>780</v>
      </c>
      <c r="F826" s="26"/>
      <c r="G826" s="26"/>
      <c r="H826" s="26"/>
      <c r="I826" s="26"/>
      <c r="J826" s="27" t="s">
        <v>2056</v>
      </c>
      <c r="K826" s="27"/>
      <c r="L826" s="27"/>
      <c r="M826" s="27"/>
      <c r="N826" s="28">
        <f>146.13</f>
        <v>146.13</v>
      </c>
      <c r="O826" s="28"/>
      <c r="P826" s="28"/>
      <c r="Q826" s="27" t="s">
        <v>2032</v>
      </c>
      <c r="R826" s="27"/>
      <c r="S826" s="29" t="s">
        <v>2032</v>
      </c>
      <c r="T826" s="29"/>
      <c r="U826" s="29"/>
      <c r="V826" s="29"/>
      <c r="W826" s="30" t="s">
        <v>2032</v>
      </c>
      <c r="X826" s="29" t="s">
        <v>2032</v>
      </c>
      <c r="Y826" s="29"/>
      <c r="Z826" s="29"/>
      <c r="AA826" s="29"/>
      <c r="AB826" s="27" t="s">
        <v>2056</v>
      </c>
      <c r="AC826" s="27"/>
      <c r="AD826" s="27"/>
      <c r="AE826" s="31">
        <f>146.13</f>
        <v>146.13</v>
      </c>
      <c r="AF826" s="31"/>
      <c r="AG826" s="31"/>
    </row>
    <row r="827" spans="1:33" s="1" customFormat="1" ht="18.75" customHeight="1">
      <c r="A827" s="24" t="s">
        <v>781</v>
      </c>
      <c r="B827" s="25" t="s">
        <v>782</v>
      </c>
      <c r="C827" s="25"/>
      <c r="D827" s="25"/>
      <c r="E827" s="26" t="s">
        <v>783</v>
      </c>
      <c r="F827" s="26"/>
      <c r="G827" s="26"/>
      <c r="H827" s="26"/>
      <c r="I827" s="26"/>
      <c r="J827" s="27" t="s">
        <v>2056</v>
      </c>
      <c r="K827" s="27"/>
      <c r="L827" s="27"/>
      <c r="M827" s="27"/>
      <c r="N827" s="28">
        <f>146.13</f>
        <v>146.13</v>
      </c>
      <c r="O827" s="28"/>
      <c r="P827" s="28"/>
      <c r="Q827" s="27" t="s">
        <v>2032</v>
      </c>
      <c r="R827" s="27"/>
      <c r="S827" s="29" t="s">
        <v>2032</v>
      </c>
      <c r="T827" s="29"/>
      <c r="U827" s="29"/>
      <c r="V827" s="29"/>
      <c r="W827" s="30" t="s">
        <v>2032</v>
      </c>
      <c r="X827" s="29" t="s">
        <v>2032</v>
      </c>
      <c r="Y827" s="29"/>
      <c r="Z827" s="29"/>
      <c r="AA827" s="29"/>
      <c r="AB827" s="27" t="s">
        <v>2056</v>
      </c>
      <c r="AC827" s="27"/>
      <c r="AD827" s="27"/>
      <c r="AE827" s="31">
        <f>146.13</f>
        <v>146.13</v>
      </c>
      <c r="AF827" s="31"/>
      <c r="AG827" s="31"/>
    </row>
    <row r="828" spans="1:33" s="1" customFormat="1" ht="18.75" customHeight="1">
      <c r="A828" s="24" t="s">
        <v>784</v>
      </c>
      <c r="B828" s="25" t="s">
        <v>785</v>
      </c>
      <c r="C828" s="25"/>
      <c r="D828" s="25"/>
      <c r="E828" s="26" t="s">
        <v>786</v>
      </c>
      <c r="F828" s="26"/>
      <c r="G828" s="26"/>
      <c r="H828" s="26"/>
      <c r="I828" s="26"/>
      <c r="J828" s="27" t="s">
        <v>2056</v>
      </c>
      <c r="K828" s="27"/>
      <c r="L828" s="27"/>
      <c r="M828" s="27"/>
      <c r="N828" s="28">
        <f>325</f>
        <v>325</v>
      </c>
      <c r="O828" s="28"/>
      <c r="P828" s="28"/>
      <c r="Q828" s="27" t="s">
        <v>2032</v>
      </c>
      <c r="R828" s="27"/>
      <c r="S828" s="29" t="s">
        <v>2032</v>
      </c>
      <c r="T828" s="29"/>
      <c r="U828" s="29"/>
      <c r="V828" s="29"/>
      <c r="W828" s="30" t="s">
        <v>2032</v>
      </c>
      <c r="X828" s="29" t="s">
        <v>2032</v>
      </c>
      <c r="Y828" s="29"/>
      <c r="Z828" s="29"/>
      <c r="AA828" s="29"/>
      <c r="AB828" s="27" t="s">
        <v>2056</v>
      </c>
      <c r="AC828" s="27"/>
      <c r="AD828" s="27"/>
      <c r="AE828" s="31">
        <f>325</f>
        <v>325</v>
      </c>
      <c r="AF828" s="31"/>
      <c r="AG828" s="31"/>
    </row>
    <row r="829" spans="1:33" s="1" customFormat="1" ht="18.75" customHeight="1">
      <c r="A829" s="24" t="s">
        <v>787</v>
      </c>
      <c r="B829" s="25" t="s">
        <v>788</v>
      </c>
      <c r="C829" s="25"/>
      <c r="D829" s="25"/>
      <c r="E829" s="26" t="s">
        <v>789</v>
      </c>
      <c r="F829" s="26"/>
      <c r="G829" s="26"/>
      <c r="H829" s="26"/>
      <c r="I829" s="26"/>
      <c r="J829" s="27" t="s">
        <v>2056</v>
      </c>
      <c r="K829" s="27"/>
      <c r="L829" s="27"/>
      <c r="M829" s="27"/>
      <c r="N829" s="28">
        <f>325</f>
        <v>325</v>
      </c>
      <c r="O829" s="28"/>
      <c r="P829" s="28"/>
      <c r="Q829" s="27" t="s">
        <v>2032</v>
      </c>
      <c r="R829" s="27"/>
      <c r="S829" s="29" t="s">
        <v>2032</v>
      </c>
      <c r="T829" s="29"/>
      <c r="U829" s="29"/>
      <c r="V829" s="29"/>
      <c r="W829" s="30" t="s">
        <v>2032</v>
      </c>
      <c r="X829" s="29" t="s">
        <v>2032</v>
      </c>
      <c r="Y829" s="29"/>
      <c r="Z829" s="29"/>
      <c r="AA829" s="29"/>
      <c r="AB829" s="27" t="s">
        <v>2056</v>
      </c>
      <c r="AC829" s="27"/>
      <c r="AD829" s="27"/>
      <c r="AE829" s="31">
        <f>325</f>
        <v>325</v>
      </c>
      <c r="AF829" s="31"/>
      <c r="AG829" s="31"/>
    </row>
    <row r="830" spans="1:33" s="1" customFormat="1" ht="33" customHeight="1">
      <c r="A830" s="24" t="s">
        <v>790</v>
      </c>
      <c r="B830" s="25" t="s">
        <v>791</v>
      </c>
      <c r="C830" s="25"/>
      <c r="D830" s="25"/>
      <c r="E830" s="26" t="s">
        <v>792</v>
      </c>
      <c r="F830" s="26"/>
      <c r="G830" s="26"/>
      <c r="H830" s="26"/>
      <c r="I830" s="26"/>
      <c r="J830" s="27" t="s">
        <v>2061</v>
      </c>
      <c r="K830" s="27"/>
      <c r="L830" s="27"/>
      <c r="M830" s="27"/>
      <c r="N830" s="28">
        <f>9667.88</f>
        <v>9667.88</v>
      </c>
      <c r="O830" s="28"/>
      <c r="P830" s="28"/>
      <c r="Q830" s="27" t="s">
        <v>2032</v>
      </c>
      <c r="R830" s="27"/>
      <c r="S830" s="29" t="s">
        <v>2032</v>
      </c>
      <c r="T830" s="29"/>
      <c r="U830" s="29"/>
      <c r="V830" s="29"/>
      <c r="W830" s="30" t="s">
        <v>2032</v>
      </c>
      <c r="X830" s="29" t="s">
        <v>2032</v>
      </c>
      <c r="Y830" s="29"/>
      <c r="Z830" s="29"/>
      <c r="AA830" s="29"/>
      <c r="AB830" s="27" t="s">
        <v>2061</v>
      </c>
      <c r="AC830" s="27"/>
      <c r="AD830" s="27"/>
      <c r="AE830" s="31">
        <f>9667.88</f>
        <v>9667.88</v>
      </c>
      <c r="AF830" s="31"/>
      <c r="AG830" s="31"/>
    </row>
    <row r="831" spans="1:33" s="1" customFormat="1" ht="33" customHeight="1">
      <c r="A831" s="24" t="s">
        <v>793</v>
      </c>
      <c r="B831" s="25" t="s">
        <v>794</v>
      </c>
      <c r="C831" s="25"/>
      <c r="D831" s="25"/>
      <c r="E831" s="26" t="s">
        <v>795</v>
      </c>
      <c r="F831" s="26"/>
      <c r="G831" s="26"/>
      <c r="H831" s="26"/>
      <c r="I831" s="26"/>
      <c r="J831" s="27" t="s">
        <v>2057</v>
      </c>
      <c r="K831" s="27"/>
      <c r="L831" s="27"/>
      <c r="M831" s="27"/>
      <c r="N831" s="28">
        <f>2980</f>
        <v>2980</v>
      </c>
      <c r="O831" s="28"/>
      <c r="P831" s="28"/>
      <c r="Q831" s="27" t="s">
        <v>2032</v>
      </c>
      <c r="R831" s="27"/>
      <c r="S831" s="29" t="s">
        <v>2032</v>
      </c>
      <c r="T831" s="29"/>
      <c r="U831" s="29"/>
      <c r="V831" s="29"/>
      <c r="W831" s="30" t="s">
        <v>2032</v>
      </c>
      <c r="X831" s="29" t="s">
        <v>2032</v>
      </c>
      <c r="Y831" s="29"/>
      <c r="Z831" s="29"/>
      <c r="AA831" s="29"/>
      <c r="AB831" s="27" t="s">
        <v>2057</v>
      </c>
      <c r="AC831" s="27"/>
      <c r="AD831" s="27"/>
      <c r="AE831" s="31">
        <f>2980</f>
        <v>2980</v>
      </c>
      <c r="AF831" s="31"/>
      <c r="AG831" s="31"/>
    </row>
    <row r="832" spans="1:33" s="1" customFormat="1" ht="18.75" customHeight="1">
      <c r="A832" s="24" t="s">
        <v>796</v>
      </c>
      <c r="B832" s="25" t="s">
        <v>797</v>
      </c>
      <c r="C832" s="25"/>
      <c r="D832" s="25"/>
      <c r="E832" s="26" t="s">
        <v>798</v>
      </c>
      <c r="F832" s="26"/>
      <c r="G832" s="26"/>
      <c r="H832" s="26"/>
      <c r="I832" s="26"/>
      <c r="J832" s="27" t="s">
        <v>2056</v>
      </c>
      <c r="K832" s="27"/>
      <c r="L832" s="27"/>
      <c r="M832" s="27"/>
      <c r="N832" s="28">
        <f>146.13</f>
        <v>146.13</v>
      </c>
      <c r="O832" s="28"/>
      <c r="P832" s="28"/>
      <c r="Q832" s="27" t="s">
        <v>2032</v>
      </c>
      <c r="R832" s="27"/>
      <c r="S832" s="29" t="s">
        <v>2032</v>
      </c>
      <c r="T832" s="29"/>
      <c r="U832" s="29"/>
      <c r="V832" s="29"/>
      <c r="W832" s="30" t="s">
        <v>2032</v>
      </c>
      <c r="X832" s="29" t="s">
        <v>2032</v>
      </c>
      <c r="Y832" s="29"/>
      <c r="Z832" s="29"/>
      <c r="AA832" s="29"/>
      <c r="AB832" s="27" t="s">
        <v>2056</v>
      </c>
      <c r="AC832" s="27"/>
      <c r="AD832" s="27"/>
      <c r="AE832" s="31">
        <f>146.13</f>
        <v>146.13</v>
      </c>
      <c r="AF832" s="31"/>
      <c r="AG832" s="31"/>
    </row>
    <row r="833" spans="1:33" s="1" customFormat="1" ht="18.75" customHeight="1">
      <c r="A833" s="24" t="s">
        <v>799</v>
      </c>
      <c r="B833" s="25" t="s">
        <v>800</v>
      </c>
      <c r="C833" s="25"/>
      <c r="D833" s="25"/>
      <c r="E833" s="26" t="s">
        <v>801</v>
      </c>
      <c r="F833" s="26"/>
      <c r="G833" s="26"/>
      <c r="H833" s="26"/>
      <c r="I833" s="26"/>
      <c r="J833" s="27" t="s">
        <v>2057</v>
      </c>
      <c r="K833" s="27"/>
      <c r="L833" s="27"/>
      <c r="M833" s="27"/>
      <c r="N833" s="28">
        <f>128</f>
        <v>128</v>
      </c>
      <c r="O833" s="28"/>
      <c r="P833" s="28"/>
      <c r="Q833" s="27" t="s">
        <v>2032</v>
      </c>
      <c r="R833" s="27"/>
      <c r="S833" s="29" t="s">
        <v>2032</v>
      </c>
      <c r="T833" s="29"/>
      <c r="U833" s="29"/>
      <c r="V833" s="29"/>
      <c r="W833" s="30" t="s">
        <v>2032</v>
      </c>
      <c r="X833" s="29" t="s">
        <v>2032</v>
      </c>
      <c r="Y833" s="29"/>
      <c r="Z833" s="29"/>
      <c r="AA833" s="29"/>
      <c r="AB833" s="27" t="s">
        <v>2057</v>
      </c>
      <c r="AC833" s="27"/>
      <c r="AD833" s="27"/>
      <c r="AE833" s="31">
        <f>128</f>
        <v>128</v>
      </c>
      <c r="AF833" s="31"/>
      <c r="AG833" s="31"/>
    </row>
    <row r="834" spans="1:33" s="1" customFormat="1" ht="18.75" customHeight="1">
      <c r="A834" s="24" t="s">
        <v>802</v>
      </c>
      <c r="B834" s="25" t="s">
        <v>803</v>
      </c>
      <c r="C834" s="25"/>
      <c r="D834" s="25"/>
      <c r="E834" s="26" t="s">
        <v>804</v>
      </c>
      <c r="F834" s="26"/>
      <c r="G834" s="26"/>
      <c r="H834" s="26"/>
      <c r="I834" s="26"/>
      <c r="J834" s="27" t="s">
        <v>2057</v>
      </c>
      <c r="K834" s="27"/>
      <c r="L834" s="27"/>
      <c r="M834" s="27"/>
      <c r="N834" s="28">
        <f>146.12</f>
        <v>146.12</v>
      </c>
      <c r="O834" s="28"/>
      <c r="P834" s="28"/>
      <c r="Q834" s="27" t="s">
        <v>2032</v>
      </c>
      <c r="R834" s="27"/>
      <c r="S834" s="29" t="s">
        <v>2032</v>
      </c>
      <c r="T834" s="29"/>
      <c r="U834" s="29"/>
      <c r="V834" s="29"/>
      <c r="W834" s="30" t="s">
        <v>2032</v>
      </c>
      <c r="X834" s="29" t="s">
        <v>2032</v>
      </c>
      <c r="Y834" s="29"/>
      <c r="Z834" s="29"/>
      <c r="AA834" s="29"/>
      <c r="AB834" s="27" t="s">
        <v>2057</v>
      </c>
      <c r="AC834" s="27"/>
      <c r="AD834" s="27"/>
      <c r="AE834" s="31">
        <f>146.12</f>
        <v>146.12</v>
      </c>
      <c r="AF834" s="31"/>
      <c r="AG834" s="31"/>
    </row>
    <row r="835" spans="1:33" s="1" customFormat="1" ht="33" customHeight="1">
      <c r="A835" s="24" t="s">
        <v>805</v>
      </c>
      <c r="B835" s="25" t="s">
        <v>806</v>
      </c>
      <c r="C835" s="25"/>
      <c r="D835" s="25"/>
      <c r="E835" s="26" t="s">
        <v>807</v>
      </c>
      <c r="F835" s="26"/>
      <c r="G835" s="26"/>
      <c r="H835" s="26"/>
      <c r="I835" s="26"/>
      <c r="J835" s="27" t="s">
        <v>2058</v>
      </c>
      <c r="K835" s="27"/>
      <c r="L835" s="27"/>
      <c r="M835" s="27"/>
      <c r="N835" s="28">
        <f>219.18</f>
        <v>219.18</v>
      </c>
      <c r="O835" s="28"/>
      <c r="P835" s="28"/>
      <c r="Q835" s="27" t="s">
        <v>2032</v>
      </c>
      <c r="R835" s="27"/>
      <c r="S835" s="29" t="s">
        <v>2032</v>
      </c>
      <c r="T835" s="29"/>
      <c r="U835" s="29"/>
      <c r="V835" s="29"/>
      <c r="W835" s="30" t="s">
        <v>2032</v>
      </c>
      <c r="X835" s="29" t="s">
        <v>2032</v>
      </c>
      <c r="Y835" s="29"/>
      <c r="Z835" s="29"/>
      <c r="AA835" s="29"/>
      <c r="AB835" s="27" t="s">
        <v>2058</v>
      </c>
      <c r="AC835" s="27"/>
      <c r="AD835" s="27"/>
      <c r="AE835" s="31">
        <f>219.18</f>
        <v>219.18</v>
      </c>
      <c r="AF835" s="31"/>
      <c r="AG835" s="31"/>
    </row>
    <row r="836" spans="1:33" s="1" customFormat="1" ht="18.75" customHeight="1">
      <c r="A836" s="24" t="s">
        <v>808</v>
      </c>
      <c r="B836" s="25" t="s">
        <v>809</v>
      </c>
      <c r="C836" s="25"/>
      <c r="D836" s="25"/>
      <c r="E836" s="26" t="s">
        <v>810</v>
      </c>
      <c r="F836" s="26"/>
      <c r="G836" s="26"/>
      <c r="H836" s="26"/>
      <c r="I836" s="26"/>
      <c r="J836" s="27" t="s">
        <v>2059</v>
      </c>
      <c r="K836" s="27"/>
      <c r="L836" s="27"/>
      <c r="M836" s="27"/>
      <c r="N836" s="28">
        <f>292.24</f>
        <v>292.24</v>
      </c>
      <c r="O836" s="28"/>
      <c r="P836" s="28"/>
      <c r="Q836" s="27" t="s">
        <v>2032</v>
      </c>
      <c r="R836" s="27"/>
      <c r="S836" s="29" t="s">
        <v>2032</v>
      </c>
      <c r="T836" s="29"/>
      <c r="U836" s="29"/>
      <c r="V836" s="29"/>
      <c r="W836" s="30" t="s">
        <v>2032</v>
      </c>
      <c r="X836" s="29" t="s">
        <v>2032</v>
      </c>
      <c r="Y836" s="29"/>
      <c r="Z836" s="29"/>
      <c r="AA836" s="29"/>
      <c r="AB836" s="27" t="s">
        <v>2059</v>
      </c>
      <c r="AC836" s="27"/>
      <c r="AD836" s="27"/>
      <c r="AE836" s="31">
        <f>292.24</f>
        <v>292.24</v>
      </c>
      <c r="AF836" s="31"/>
      <c r="AG836" s="31"/>
    </row>
    <row r="837" spans="1:33" s="1" customFormat="1" ht="18.75" customHeight="1">
      <c r="A837" s="24" t="s">
        <v>811</v>
      </c>
      <c r="B837" s="25" t="s">
        <v>812</v>
      </c>
      <c r="C837" s="25"/>
      <c r="D837" s="25"/>
      <c r="E837" s="26" t="s">
        <v>813</v>
      </c>
      <c r="F837" s="26"/>
      <c r="G837" s="26"/>
      <c r="H837" s="26"/>
      <c r="I837" s="26"/>
      <c r="J837" s="27" t="s">
        <v>2056</v>
      </c>
      <c r="K837" s="27"/>
      <c r="L837" s="27"/>
      <c r="M837" s="27"/>
      <c r="N837" s="28">
        <f>73.06</f>
        <v>73.06</v>
      </c>
      <c r="O837" s="28"/>
      <c r="P837" s="28"/>
      <c r="Q837" s="27" t="s">
        <v>2032</v>
      </c>
      <c r="R837" s="27"/>
      <c r="S837" s="29" t="s">
        <v>2032</v>
      </c>
      <c r="T837" s="29"/>
      <c r="U837" s="29"/>
      <c r="V837" s="29"/>
      <c r="W837" s="30" t="s">
        <v>2032</v>
      </c>
      <c r="X837" s="29" t="s">
        <v>2032</v>
      </c>
      <c r="Y837" s="29"/>
      <c r="Z837" s="29"/>
      <c r="AA837" s="29"/>
      <c r="AB837" s="27" t="s">
        <v>2056</v>
      </c>
      <c r="AC837" s="27"/>
      <c r="AD837" s="27"/>
      <c r="AE837" s="31">
        <f>73.06</f>
        <v>73.06</v>
      </c>
      <c r="AF837" s="31"/>
      <c r="AG837" s="31"/>
    </row>
    <row r="838" spans="1:33" s="1" customFormat="1" ht="18.75" customHeight="1">
      <c r="A838" s="24" t="s">
        <v>814</v>
      </c>
      <c r="B838" s="25" t="s">
        <v>815</v>
      </c>
      <c r="C838" s="25"/>
      <c r="D838" s="25"/>
      <c r="E838" s="26" t="s">
        <v>816</v>
      </c>
      <c r="F838" s="26"/>
      <c r="G838" s="26"/>
      <c r="H838" s="26"/>
      <c r="I838" s="26"/>
      <c r="J838" s="27" t="s">
        <v>2057</v>
      </c>
      <c r="K838" s="27"/>
      <c r="L838" s="27"/>
      <c r="M838" s="27"/>
      <c r="N838" s="28">
        <f>290</f>
        <v>290</v>
      </c>
      <c r="O838" s="28"/>
      <c r="P838" s="28"/>
      <c r="Q838" s="27" t="s">
        <v>2032</v>
      </c>
      <c r="R838" s="27"/>
      <c r="S838" s="29" t="s">
        <v>2032</v>
      </c>
      <c r="T838" s="29"/>
      <c r="U838" s="29"/>
      <c r="V838" s="29"/>
      <c r="W838" s="30" t="s">
        <v>2032</v>
      </c>
      <c r="X838" s="29" t="s">
        <v>2032</v>
      </c>
      <c r="Y838" s="29"/>
      <c r="Z838" s="29"/>
      <c r="AA838" s="29"/>
      <c r="AB838" s="27" t="s">
        <v>2057</v>
      </c>
      <c r="AC838" s="27"/>
      <c r="AD838" s="27"/>
      <c r="AE838" s="31">
        <f>290</f>
        <v>290</v>
      </c>
      <c r="AF838" s="31"/>
      <c r="AG838" s="31"/>
    </row>
    <row r="839" spans="1:33" s="1" customFormat="1" ht="18.75" customHeight="1">
      <c r="A839" s="24" t="s">
        <v>817</v>
      </c>
      <c r="B839" s="25" t="s">
        <v>818</v>
      </c>
      <c r="C839" s="25"/>
      <c r="D839" s="25"/>
      <c r="E839" s="26" t="s">
        <v>819</v>
      </c>
      <c r="F839" s="26"/>
      <c r="G839" s="26"/>
      <c r="H839" s="26"/>
      <c r="I839" s="26"/>
      <c r="J839" s="27" t="s">
        <v>2057</v>
      </c>
      <c r="K839" s="27"/>
      <c r="L839" s="27"/>
      <c r="M839" s="27"/>
      <c r="N839" s="28">
        <f>340</f>
        <v>340</v>
      </c>
      <c r="O839" s="28"/>
      <c r="P839" s="28"/>
      <c r="Q839" s="27" t="s">
        <v>2032</v>
      </c>
      <c r="R839" s="27"/>
      <c r="S839" s="29" t="s">
        <v>2032</v>
      </c>
      <c r="T839" s="29"/>
      <c r="U839" s="29"/>
      <c r="V839" s="29"/>
      <c r="W839" s="30" t="s">
        <v>2032</v>
      </c>
      <c r="X839" s="29" t="s">
        <v>2032</v>
      </c>
      <c r="Y839" s="29"/>
      <c r="Z839" s="29"/>
      <c r="AA839" s="29"/>
      <c r="AB839" s="27" t="s">
        <v>2057</v>
      </c>
      <c r="AC839" s="27"/>
      <c r="AD839" s="27"/>
      <c r="AE839" s="31">
        <f>340</f>
        <v>340</v>
      </c>
      <c r="AF839" s="31"/>
      <c r="AG839" s="31"/>
    </row>
    <row r="840" spans="1:33" s="1" customFormat="1" ht="33" customHeight="1">
      <c r="A840" s="24" t="s">
        <v>820</v>
      </c>
      <c r="B840" s="25" t="s">
        <v>821</v>
      </c>
      <c r="C840" s="25"/>
      <c r="D840" s="25"/>
      <c r="E840" s="26" t="s">
        <v>822</v>
      </c>
      <c r="F840" s="26"/>
      <c r="G840" s="26"/>
      <c r="H840" s="26"/>
      <c r="I840" s="26"/>
      <c r="J840" s="27" t="s">
        <v>2056</v>
      </c>
      <c r="K840" s="27"/>
      <c r="L840" s="27"/>
      <c r="M840" s="27"/>
      <c r="N840" s="28">
        <f>153</f>
        <v>153</v>
      </c>
      <c r="O840" s="28"/>
      <c r="P840" s="28"/>
      <c r="Q840" s="27" t="s">
        <v>2032</v>
      </c>
      <c r="R840" s="27"/>
      <c r="S840" s="29" t="s">
        <v>2032</v>
      </c>
      <c r="T840" s="29"/>
      <c r="U840" s="29"/>
      <c r="V840" s="29"/>
      <c r="W840" s="30" t="s">
        <v>2032</v>
      </c>
      <c r="X840" s="29" t="s">
        <v>2032</v>
      </c>
      <c r="Y840" s="29"/>
      <c r="Z840" s="29"/>
      <c r="AA840" s="29"/>
      <c r="AB840" s="27" t="s">
        <v>2056</v>
      </c>
      <c r="AC840" s="27"/>
      <c r="AD840" s="27"/>
      <c r="AE840" s="31">
        <f>153</f>
        <v>153</v>
      </c>
      <c r="AF840" s="31"/>
      <c r="AG840" s="31"/>
    </row>
    <row r="841" spans="1:33" s="1" customFormat="1" ht="18.75" customHeight="1">
      <c r="A841" s="24" t="s">
        <v>823</v>
      </c>
      <c r="B841" s="25" t="s">
        <v>2669</v>
      </c>
      <c r="C841" s="25"/>
      <c r="D841" s="25"/>
      <c r="E841" s="26" t="s">
        <v>824</v>
      </c>
      <c r="F841" s="26"/>
      <c r="G841" s="26"/>
      <c r="H841" s="26"/>
      <c r="I841" s="26"/>
      <c r="J841" s="27" t="s">
        <v>2056</v>
      </c>
      <c r="K841" s="27"/>
      <c r="L841" s="27"/>
      <c r="M841" s="27"/>
      <c r="N841" s="28">
        <f>146.13</f>
        <v>146.13</v>
      </c>
      <c r="O841" s="28"/>
      <c r="P841" s="28"/>
      <c r="Q841" s="27" t="s">
        <v>2032</v>
      </c>
      <c r="R841" s="27"/>
      <c r="S841" s="29" t="s">
        <v>2032</v>
      </c>
      <c r="T841" s="29"/>
      <c r="U841" s="29"/>
      <c r="V841" s="29"/>
      <c r="W841" s="30" t="s">
        <v>2032</v>
      </c>
      <c r="X841" s="29" t="s">
        <v>2032</v>
      </c>
      <c r="Y841" s="29"/>
      <c r="Z841" s="29"/>
      <c r="AA841" s="29"/>
      <c r="AB841" s="27" t="s">
        <v>2056</v>
      </c>
      <c r="AC841" s="27"/>
      <c r="AD841" s="27"/>
      <c r="AE841" s="31">
        <f>146.13</f>
        <v>146.13</v>
      </c>
      <c r="AF841" s="31"/>
      <c r="AG841" s="31"/>
    </row>
    <row r="842" spans="1:33" s="1" customFormat="1" ht="18.75" customHeight="1">
      <c r="A842" s="24" t="s">
        <v>825</v>
      </c>
      <c r="B842" s="25" t="s">
        <v>826</v>
      </c>
      <c r="C842" s="25"/>
      <c r="D842" s="25"/>
      <c r="E842" s="26" t="s">
        <v>827</v>
      </c>
      <c r="F842" s="26"/>
      <c r="G842" s="26"/>
      <c r="H842" s="26"/>
      <c r="I842" s="26"/>
      <c r="J842" s="27" t="s">
        <v>2056</v>
      </c>
      <c r="K842" s="27"/>
      <c r="L842" s="27"/>
      <c r="M842" s="27"/>
      <c r="N842" s="28">
        <f>325</f>
        <v>325</v>
      </c>
      <c r="O842" s="28"/>
      <c r="P842" s="28"/>
      <c r="Q842" s="27" t="s">
        <v>2032</v>
      </c>
      <c r="R842" s="27"/>
      <c r="S842" s="29" t="s">
        <v>2032</v>
      </c>
      <c r="T842" s="29"/>
      <c r="U842" s="29"/>
      <c r="V842" s="29"/>
      <c r="W842" s="30" t="s">
        <v>2032</v>
      </c>
      <c r="X842" s="29" t="s">
        <v>2032</v>
      </c>
      <c r="Y842" s="29"/>
      <c r="Z842" s="29"/>
      <c r="AA842" s="29"/>
      <c r="AB842" s="27" t="s">
        <v>2056</v>
      </c>
      <c r="AC842" s="27"/>
      <c r="AD842" s="27"/>
      <c r="AE842" s="31">
        <f>325</f>
        <v>325</v>
      </c>
      <c r="AF842" s="31"/>
      <c r="AG842" s="31"/>
    </row>
    <row r="843" spans="1:33" s="1" customFormat="1" ht="18.75" customHeight="1">
      <c r="A843" s="24" t="s">
        <v>828</v>
      </c>
      <c r="B843" s="25" t="s">
        <v>829</v>
      </c>
      <c r="C843" s="25"/>
      <c r="D843" s="25"/>
      <c r="E843" s="26" t="s">
        <v>830</v>
      </c>
      <c r="F843" s="26"/>
      <c r="G843" s="26"/>
      <c r="H843" s="26"/>
      <c r="I843" s="26"/>
      <c r="J843" s="27" t="s">
        <v>2056</v>
      </c>
      <c r="K843" s="27"/>
      <c r="L843" s="27"/>
      <c r="M843" s="27"/>
      <c r="N843" s="28">
        <f>325</f>
        <v>325</v>
      </c>
      <c r="O843" s="28"/>
      <c r="P843" s="28"/>
      <c r="Q843" s="27" t="s">
        <v>2032</v>
      </c>
      <c r="R843" s="27"/>
      <c r="S843" s="29" t="s">
        <v>2032</v>
      </c>
      <c r="T843" s="29"/>
      <c r="U843" s="29"/>
      <c r="V843" s="29"/>
      <c r="W843" s="30" t="s">
        <v>2032</v>
      </c>
      <c r="X843" s="29" t="s">
        <v>2032</v>
      </c>
      <c r="Y843" s="29"/>
      <c r="Z843" s="29"/>
      <c r="AA843" s="29"/>
      <c r="AB843" s="27" t="s">
        <v>2056</v>
      </c>
      <c r="AC843" s="27"/>
      <c r="AD843" s="27"/>
      <c r="AE843" s="31">
        <f>325</f>
        <v>325</v>
      </c>
      <c r="AF843" s="31"/>
      <c r="AG843" s="31"/>
    </row>
    <row r="844" spans="1:33" s="1" customFormat="1" ht="18.75" customHeight="1">
      <c r="A844" s="24" t="s">
        <v>831</v>
      </c>
      <c r="B844" s="25" t="s">
        <v>832</v>
      </c>
      <c r="C844" s="25"/>
      <c r="D844" s="25"/>
      <c r="E844" s="26" t="s">
        <v>833</v>
      </c>
      <c r="F844" s="26"/>
      <c r="G844" s="26"/>
      <c r="H844" s="26"/>
      <c r="I844" s="26"/>
      <c r="J844" s="27" t="s">
        <v>2057</v>
      </c>
      <c r="K844" s="27"/>
      <c r="L844" s="27"/>
      <c r="M844" s="27"/>
      <c r="N844" s="28">
        <f>146.12</f>
        <v>146.12</v>
      </c>
      <c r="O844" s="28"/>
      <c r="P844" s="28"/>
      <c r="Q844" s="27" t="s">
        <v>2032</v>
      </c>
      <c r="R844" s="27"/>
      <c r="S844" s="29" t="s">
        <v>2032</v>
      </c>
      <c r="T844" s="29"/>
      <c r="U844" s="29"/>
      <c r="V844" s="29"/>
      <c r="W844" s="30" t="s">
        <v>2032</v>
      </c>
      <c r="X844" s="29" t="s">
        <v>2032</v>
      </c>
      <c r="Y844" s="29"/>
      <c r="Z844" s="29"/>
      <c r="AA844" s="29"/>
      <c r="AB844" s="27" t="s">
        <v>2057</v>
      </c>
      <c r="AC844" s="27"/>
      <c r="AD844" s="27"/>
      <c r="AE844" s="31">
        <f>146.12</f>
        <v>146.12</v>
      </c>
      <c r="AF844" s="31"/>
      <c r="AG844" s="31"/>
    </row>
    <row r="845" spans="1:33" s="1" customFormat="1" ht="18.75" customHeight="1">
      <c r="A845" s="24" t="s">
        <v>834</v>
      </c>
      <c r="B845" s="25" t="s">
        <v>835</v>
      </c>
      <c r="C845" s="25"/>
      <c r="D845" s="25"/>
      <c r="E845" s="26" t="s">
        <v>833</v>
      </c>
      <c r="F845" s="26"/>
      <c r="G845" s="26"/>
      <c r="H845" s="26"/>
      <c r="I845" s="26"/>
      <c r="J845" s="27" t="s">
        <v>2061</v>
      </c>
      <c r="K845" s="27"/>
      <c r="L845" s="27"/>
      <c r="M845" s="27"/>
      <c r="N845" s="28">
        <f>438.36</f>
        <v>438.36</v>
      </c>
      <c r="O845" s="28"/>
      <c r="P845" s="28"/>
      <c r="Q845" s="27" t="s">
        <v>2032</v>
      </c>
      <c r="R845" s="27"/>
      <c r="S845" s="29" t="s">
        <v>2032</v>
      </c>
      <c r="T845" s="29"/>
      <c r="U845" s="29"/>
      <c r="V845" s="29"/>
      <c r="W845" s="30" t="s">
        <v>2032</v>
      </c>
      <c r="X845" s="29" t="s">
        <v>2032</v>
      </c>
      <c r="Y845" s="29"/>
      <c r="Z845" s="29"/>
      <c r="AA845" s="29"/>
      <c r="AB845" s="27" t="s">
        <v>2061</v>
      </c>
      <c r="AC845" s="27"/>
      <c r="AD845" s="27"/>
      <c r="AE845" s="31">
        <f>438.36</f>
        <v>438.36</v>
      </c>
      <c r="AF845" s="31"/>
      <c r="AG845" s="31"/>
    </row>
    <row r="846" spans="1:33" s="1" customFormat="1" ht="18.75" customHeight="1">
      <c r="A846" s="24" t="s">
        <v>836</v>
      </c>
      <c r="B846" s="25" t="s">
        <v>837</v>
      </c>
      <c r="C846" s="25"/>
      <c r="D846" s="25"/>
      <c r="E846" s="26" t="s">
        <v>838</v>
      </c>
      <c r="F846" s="26"/>
      <c r="G846" s="26"/>
      <c r="H846" s="26"/>
      <c r="I846" s="26"/>
      <c r="J846" s="27" t="s">
        <v>2093</v>
      </c>
      <c r="K846" s="27"/>
      <c r="L846" s="27"/>
      <c r="M846" s="27"/>
      <c r="N846" s="28">
        <f>7272.75</f>
        <v>7272.75</v>
      </c>
      <c r="O846" s="28"/>
      <c r="P846" s="28"/>
      <c r="Q846" s="27" t="s">
        <v>2032</v>
      </c>
      <c r="R846" s="27"/>
      <c r="S846" s="29" t="s">
        <v>2032</v>
      </c>
      <c r="T846" s="29"/>
      <c r="U846" s="29"/>
      <c r="V846" s="29"/>
      <c r="W846" s="30" t="s">
        <v>2032</v>
      </c>
      <c r="X846" s="29" t="s">
        <v>2032</v>
      </c>
      <c r="Y846" s="29"/>
      <c r="Z846" s="29"/>
      <c r="AA846" s="29"/>
      <c r="AB846" s="27" t="s">
        <v>2093</v>
      </c>
      <c r="AC846" s="27"/>
      <c r="AD846" s="27"/>
      <c r="AE846" s="31">
        <f>7272.75</f>
        <v>7272.75</v>
      </c>
      <c r="AF846" s="31"/>
      <c r="AG846" s="31"/>
    </row>
    <row r="847" spans="1:33" s="1" customFormat="1" ht="18.75" customHeight="1">
      <c r="A847" s="24" t="s">
        <v>839</v>
      </c>
      <c r="B847" s="25" t="s">
        <v>840</v>
      </c>
      <c r="C847" s="25"/>
      <c r="D847" s="25"/>
      <c r="E847" s="26" t="s">
        <v>841</v>
      </c>
      <c r="F847" s="26"/>
      <c r="G847" s="26"/>
      <c r="H847" s="26"/>
      <c r="I847" s="26"/>
      <c r="J847" s="27" t="s">
        <v>2058</v>
      </c>
      <c r="K847" s="27"/>
      <c r="L847" s="27"/>
      <c r="M847" s="27"/>
      <c r="N847" s="28">
        <f>219.18</f>
        <v>219.18</v>
      </c>
      <c r="O847" s="28"/>
      <c r="P847" s="28"/>
      <c r="Q847" s="27" t="s">
        <v>2032</v>
      </c>
      <c r="R847" s="27"/>
      <c r="S847" s="29" t="s">
        <v>2032</v>
      </c>
      <c r="T847" s="29"/>
      <c r="U847" s="29"/>
      <c r="V847" s="29"/>
      <c r="W847" s="30" t="s">
        <v>2032</v>
      </c>
      <c r="X847" s="29" t="s">
        <v>2032</v>
      </c>
      <c r="Y847" s="29"/>
      <c r="Z847" s="29"/>
      <c r="AA847" s="29"/>
      <c r="AB847" s="27" t="s">
        <v>2058</v>
      </c>
      <c r="AC847" s="27"/>
      <c r="AD847" s="27"/>
      <c r="AE847" s="31">
        <f>219.18</f>
        <v>219.18</v>
      </c>
      <c r="AF847" s="31"/>
      <c r="AG847" s="31"/>
    </row>
    <row r="848" spans="1:33" s="1" customFormat="1" ht="18.75" customHeight="1">
      <c r="A848" s="24" t="s">
        <v>842</v>
      </c>
      <c r="B848" s="25" t="s">
        <v>843</v>
      </c>
      <c r="C848" s="25"/>
      <c r="D848" s="25"/>
      <c r="E848" s="26" t="s">
        <v>844</v>
      </c>
      <c r="F848" s="26"/>
      <c r="G848" s="26"/>
      <c r="H848" s="26"/>
      <c r="I848" s="26"/>
      <c r="J848" s="27" t="s">
        <v>2056</v>
      </c>
      <c r="K848" s="27"/>
      <c r="L848" s="27"/>
      <c r="M848" s="27"/>
      <c r="N848" s="28">
        <f>73.06</f>
        <v>73.06</v>
      </c>
      <c r="O848" s="28"/>
      <c r="P848" s="28"/>
      <c r="Q848" s="27" t="s">
        <v>2032</v>
      </c>
      <c r="R848" s="27"/>
      <c r="S848" s="29" t="s">
        <v>2032</v>
      </c>
      <c r="T848" s="29"/>
      <c r="U848" s="29"/>
      <c r="V848" s="29"/>
      <c r="W848" s="30" t="s">
        <v>2032</v>
      </c>
      <c r="X848" s="29" t="s">
        <v>2032</v>
      </c>
      <c r="Y848" s="29"/>
      <c r="Z848" s="29"/>
      <c r="AA848" s="29"/>
      <c r="AB848" s="27" t="s">
        <v>2056</v>
      </c>
      <c r="AC848" s="27"/>
      <c r="AD848" s="27"/>
      <c r="AE848" s="31">
        <f>73.06</f>
        <v>73.06</v>
      </c>
      <c r="AF848" s="31"/>
      <c r="AG848" s="31"/>
    </row>
    <row r="849" spans="1:33" s="1" customFormat="1" ht="18.75" customHeight="1">
      <c r="A849" s="24" t="s">
        <v>845</v>
      </c>
      <c r="B849" s="25" t="s">
        <v>846</v>
      </c>
      <c r="C849" s="25"/>
      <c r="D849" s="25"/>
      <c r="E849" s="26" t="s">
        <v>847</v>
      </c>
      <c r="F849" s="26"/>
      <c r="G849" s="26"/>
      <c r="H849" s="26"/>
      <c r="I849" s="26"/>
      <c r="J849" s="27" t="s">
        <v>2056</v>
      </c>
      <c r="K849" s="27"/>
      <c r="L849" s="27"/>
      <c r="M849" s="27"/>
      <c r="N849" s="28">
        <f>73.06</f>
        <v>73.06</v>
      </c>
      <c r="O849" s="28"/>
      <c r="P849" s="28"/>
      <c r="Q849" s="27" t="s">
        <v>2032</v>
      </c>
      <c r="R849" s="27"/>
      <c r="S849" s="29" t="s">
        <v>2032</v>
      </c>
      <c r="T849" s="29"/>
      <c r="U849" s="29"/>
      <c r="V849" s="29"/>
      <c r="W849" s="30" t="s">
        <v>2032</v>
      </c>
      <c r="X849" s="29" t="s">
        <v>2032</v>
      </c>
      <c r="Y849" s="29"/>
      <c r="Z849" s="29"/>
      <c r="AA849" s="29"/>
      <c r="AB849" s="27" t="s">
        <v>2056</v>
      </c>
      <c r="AC849" s="27"/>
      <c r="AD849" s="27"/>
      <c r="AE849" s="31">
        <f>73.06</f>
        <v>73.06</v>
      </c>
      <c r="AF849" s="31"/>
      <c r="AG849" s="31"/>
    </row>
    <row r="850" spans="1:33" s="1" customFormat="1" ht="46.5" customHeight="1">
      <c r="A850" s="24" t="s">
        <v>848</v>
      </c>
      <c r="B850" s="25" t="s">
        <v>849</v>
      </c>
      <c r="C850" s="25"/>
      <c r="D850" s="25"/>
      <c r="E850" s="26" t="s">
        <v>850</v>
      </c>
      <c r="F850" s="26"/>
      <c r="G850" s="26"/>
      <c r="H850" s="26"/>
      <c r="I850" s="26"/>
      <c r="J850" s="27" t="s">
        <v>2056</v>
      </c>
      <c r="K850" s="27"/>
      <c r="L850" s="27"/>
      <c r="M850" s="27"/>
      <c r="N850" s="28">
        <f>325</f>
        <v>325</v>
      </c>
      <c r="O850" s="28"/>
      <c r="P850" s="28"/>
      <c r="Q850" s="27" t="s">
        <v>2032</v>
      </c>
      <c r="R850" s="27"/>
      <c r="S850" s="29" t="s">
        <v>2032</v>
      </c>
      <c r="T850" s="29"/>
      <c r="U850" s="29"/>
      <c r="V850" s="29"/>
      <c r="W850" s="30" t="s">
        <v>2032</v>
      </c>
      <c r="X850" s="29" t="s">
        <v>2032</v>
      </c>
      <c r="Y850" s="29"/>
      <c r="Z850" s="29"/>
      <c r="AA850" s="29"/>
      <c r="AB850" s="27" t="s">
        <v>2056</v>
      </c>
      <c r="AC850" s="27"/>
      <c r="AD850" s="27"/>
      <c r="AE850" s="31">
        <f>325</f>
        <v>325</v>
      </c>
      <c r="AF850" s="31"/>
      <c r="AG850" s="31"/>
    </row>
    <row r="851" spans="1:33" s="1" customFormat="1" ht="33" customHeight="1">
      <c r="A851" s="24" t="s">
        <v>851</v>
      </c>
      <c r="B851" s="25" t="s">
        <v>852</v>
      </c>
      <c r="C851" s="25"/>
      <c r="D851" s="25"/>
      <c r="E851" s="26" t="s">
        <v>853</v>
      </c>
      <c r="F851" s="26"/>
      <c r="G851" s="26"/>
      <c r="H851" s="26"/>
      <c r="I851" s="26"/>
      <c r="J851" s="27" t="s">
        <v>2056</v>
      </c>
      <c r="K851" s="27"/>
      <c r="L851" s="27"/>
      <c r="M851" s="27"/>
      <c r="N851" s="28">
        <f>325</f>
        <v>325</v>
      </c>
      <c r="O851" s="28"/>
      <c r="P851" s="28"/>
      <c r="Q851" s="27" t="s">
        <v>2032</v>
      </c>
      <c r="R851" s="27"/>
      <c r="S851" s="29" t="s">
        <v>2032</v>
      </c>
      <c r="T851" s="29"/>
      <c r="U851" s="29"/>
      <c r="V851" s="29"/>
      <c r="W851" s="30" t="s">
        <v>2032</v>
      </c>
      <c r="X851" s="29" t="s">
        <v>2032</v>
      </c>
      <c r="Y851" s="29"/>
      <c r="Z851" s="29"/>
      <c r="AA851" s="29"/>
      <c r="AB851" s="27" t="s">
        <v>2056</v>
      </c>
      <c r="AC851" s="27"/>
      <c r="AD851" s="27"/>
      <c r="AE851" s="31">
        <f>325</f>
        <v>325</v>
      </c>
      <c r="AF851" s="31"/>
      <c r="AG851" s="31"/>
    </row>
    <row r="852" spans="1:33" s="1" customFormat="1" ht="18.75" customHeight="1">
      <c r="A852" s="24" t="s">
        <v>854</v>
      </c>
      <c r="B852" s="25" t="s">
        <v>855</v>
      </c>
      <c r="C852" s="25"/>
      <c r="D852" s="25"/>
      <c r="E852" s="26" t="s">
        <v>856</v>
      </c>
      <c r="F852" s="26"/>
      <c r="G852" s="26"/>
      <c r="H852" s="26"/>
      <c r="I852" s="26"/>
      <c r="J852" s="27" t="s">
        <v>2057</v>
      </c>
      <c r="K852" s="27"/>
      <c r="L852" s="27"/>
      <c r="M852" s="27"/>
      <c r="N852" s="28">
        <f>5000</f>
        <v>5000</v>
      </c>
      <c r="O852" s="28"/>
      <c r="P852" s="28"/>
      <c r="Q852" s="27" t="s">
        <v>2032</v>
      </c>
      <c r="R852" s="27"/>
      <c r="S852" s="29" t="s">
        <v>2032</v>
      </c>
      <c r="T852" s="29"/>
      <c r="U852" s="29"/>
      <c r="V852" s="29"/>
      <c r="W852" s="30" t="s">
        <v>2032</v>
      </c>
      <c r="X852" s="29" t="s">
        <v>2032</v>
      </c>
      <c r="Y852" s="29"/>
      <c r="Z852" s="29"/>
      <c r="AA852" s="29"/>
      <c r="AB852" s="27" t="s">
        <v>2057</v>
      </c>
      <c r="AC852" s="27"/>
      <c r="AD852" s="27"/>
      <c r="AE852" s="31">
        <f>5000</f>
        <v>5000</v>
      </c>
      <c r="AF852" s="31"/>
      <c r="AG852" s="31"/>
    </row>
    <row r="853" spans="1:33" s="1" customFormat="1" ht="18.75" customHeight="1">
      <c r="A853" s="24" t="s">
        <v>857</v>
      </c>
      <c r="B853" s="25" t="s">
        <v>858</v>
      </c>
      <c r="C853" s="25"/>
      <c r="D853" s="25"/>
      <c r="E853" s="26" t="s">
        <v>859</v>
      </c>
      <c r="F853" s="26"/>
      <c r="G853" s="26"/>
      <c r="H853" s="26"/>
      <c r="I853" s="26"/>
      <c r="J853" s="27" t="s">
        <v>2056</v>
      </c>
      <c r="K853" s="27"/>
      <c r="L853" s="27"/>
      <c r="M853" s="27"/>
      <c r="N853" s="28">
        <f>42.8</f>
        <v>42.8</v>
      </c>
      <c r="O853" s="28"/>
      <c r="P853" s="28"/>
      <c r="Q853" s="27" t="s">
        <v>2032</v>
      </c>
      <c r="R853" s="27"/>
      <c r="S853" s="29" t="s">
        <v>2032</v>
      </c>
      <c r="T853" s="29"/>
      <c r="U853" s="29"/>
      <c r="V853" s="29"/>
      <c r="W853" s="30" t="s">
        <v>2032</v>
      </c>
      <c r="X853" s="29" t="s">
        <v>2032</v>
      </c>
      <c r="Y853" s="29"/>
      <c r="Z853" s="29"/>
      <c r="AA853" s="29"/>
      <c r="AB853" s="27" t="s">
        <v>2056</v>
      </c>
      <c r="AC853" s="27"/>
      <c r="AD853" s="27"/>
      <c r="AE853" s="31">
        <f>42.8</f>
        <v>42.8</v>
      </c>
      <c r="AF853" s="31"/>
      <c r="AG853" s="31"/>
    </row>
    <row r="854" spans="1:33" s="1" customFormat="1" ht="18.75" customHeight="1">
      <c r="A854" s="24" t="s">
        <v>860</v>
      </c>
      <c r="B854" s="25" t="s">
        <v>861</v>
      </c>
      <c r="C854" s="25"/>
      <c r="D854" s="25"/>
      <c r="E854" s="26" t="s">
        <v>862</v>
      </c>
      <c r="F854" s="26"/>
      <c r="G854" s="26"/>
      <c r="H854" s="26"/>
      <c r="I854" s="26"/>
      <c r="J854" s="27" t="s">
        <v>2057</v>
      </c>
      <c r="K854" s="27"/>
      <c r="L854" s="27"/>
      <c r="M854" s="27"/>
      <c r="N854" s="28">
        <f>146.12</f>
        <v>146.12</v>
      </c>
      <c r="O854" s="28"/>
      <c r="P854" s="28"/>
      <c r="Q854" s="27" t="s">
        <v>2032</v>
      </c>
      <c r="R854" s="27"/>
      <c r="S854" s="29" t="s">
        <v>2032</v>
      </c>
      <c r="T854" s="29"/>
      <c r="U854" s="29"/>
      <c r="V854" s="29"/>
      <c r="W854" s="30" t="s">
        <v>2032</v>
      </c>
      <c r="X854" s="29" t="s">
        <v>2032</v>
      </c>
      <c r="Y854" s="29"/>
      <c r="Z854" s="29"/>
      <c r="AA854" s="29"/>
      <c r="AB854" s="27" t="s">
        <v>2057</v>
      </c>
      <c r="AC854" s="27"/>
      <c r="AD854" s="27"/>
      <c r="AE854" s="31">
        <f>146.12</f>
        <v>146.12</v>
      </c>
      <c r="AF854" s="31"/>
      <c r="AG854" s="31"/>
    </row>
    <row r="855" spans="1:33" s="1" customFormat="1" ht="18.75" customHeight="1">
      <c r="A855" s="24" t="s">
        <v>863</v>
      </c>
      <c r="B855" s="25" t="s">
        <v>2537</v>
      </c>
      <c r="C855" s="25"/>
      <c r="D855" s="25"/>
      <c r="E855" s="26" t="s">
        <v>864</v>
      </c>
      <c r="F855" s="26"/>
      <c r="G855" s="26"/>
      <c r="H855" s="26"/>
      <c r="I855" s="26"/>
      <c r="J855" s="27" t="s">
        <v>2063</v>
      </c>
      <c r="K855" s="27"/>
      <c r="L855" s="27"/>
      <c r="M855" s="27"/>
      <c r="N855" s="28">
        <f>7552</f>
        <v>7552</v>
      </c>
      <c r="O855" s="28"/>
      <c r="P855" s="28"/>
      <c r="Q855" s="27" t="s">
        <v>2032</v>
      </c>
      <c r="R855" s="27"/>
      <c r="S855" s="29" t="s">
        <v>2032</v>
      </c>
      <c r="T855" s="29"/>
      <c r="U855" s="29"/>
      <c r="V855" s="29"/>
      <c r="W855" s="30" t="s">
        <v>2032</v>
      </c>
      <c r="X855" s="29" t="s">
        <v>2032</v>
      </c>
      <c r="Y855" s="29"/>
      <c r="Z855" s="29"/>
      <c r="AA855" s="29"/>
      <c r="AB855" s="27" t="s">
        <v>2063</v>
      </c>
      <c r="AC855" s="27"/>
      <c r="AD855" s="27"/>
      <c r="AE855" s="31">
        <f>7552</f>
        <v>7552</v>
      </c>
      <c r="AF855" s="31"/>
      <c r="AG855" s="31"/>
    </row>
    <row r="856" spans="1:33" s="1" customFormat="1" ht="18.75" customHeight="1">
      <c r="A856" s="24" t="s">
        <v>865</v>
      </c>
      <c r="B856" s="25" t="s">
        <v>866</v>
      </c>
      <c r="C856" s="25"/>
      <c r="D856" s="25"/>
      <c r="E856" s="26" t="s">
        <v>867</v>
      </c>
      <c r="F856" s="26"/>
      <c r="G856" s="26"/>
      <c r="H856" s="26"/>
      <c r="I856" s="26"/>
      <c r="J856" s="27" t="s">
        <v>2058</v>
      </c>
      <c r="K856" s="27"/>
      <c r="L856" s="27"/>
      <c r="M856" s="27"/>
      <c r="N856" s="28">
        <f>270</f>
        <v>270</v>
      </c>
      <c r="O856" s="28"/>
      <c r="P856" s="28"/>
      <c r="Q856" s="27" t="s">
        <v>2032</v>
      </c>
      <c r="R856" s="27"/>
      <c r="S856" s="29" t="s">
        <v>2032</v>
      </c>
      <c r="T856" s="29"/>
      <c r="U856" s="29"/>
      <c r="V856" s="29"/>
      <c r="W856" s="30" t="s">
        <v>2032</v>
      </c>
      <c r="X856" s="29" t="s">
        <v>2032</v>
      </c>
      <c r="Y856" s="29"/>
      <c r="Z856" s="29"/>
      <c r="AA856" s="29"/>
      <c r="AB856" s="27" t="s">
        <v>2058</v>
      </c>
      <c r="AC856" s="27"/>
      <c r="AD856" s="27"/>
      <c r="AE856" s="31">
        <f>270</f>
        <v>270</v>
      </c>
      <c r="AF856" s="31"/>
      <c r="AG856" s="31"/>
    </row>
    <row r="857" spans="1:33" s="1" customFormat="1" ht="18.75" customHeight="1">
      <c r="A857" s="24" t="s">
        <v>868</v>
      </c>
      <c r="B857" s="25" t="s">
        <v>2471</v>
      </c>
      <c r="C857" s="25"/>
      <c r="D857" s="25"/>
      <c r="E857" s="26" t="s">
        <v>869</v>
      </c>
      <c r="F857" s="26"/>
      <c r="G857" s="26"/>
      <c r="H857" s="26"/>
      <c r="I857" s="26"/>
      <c r="J857" s="27" t="s">
        <v>2056</v>
      </c>
      <c r="K857" s="27"/>
      <c r="L857" s="27"/>
      <c r="M857" s="27"/>
      <c r="N857" s="28">
        <f>37.05</f>
        <v>37.05</v>
      </c>
      <c r="O857" s="28"/>
      <c r="P857" s="28"/>
      <c r="Q857" s="27" t="s">
        <v>2032</v>
      </c>
      <c r="R857" s="27"/>
      <c r="S857" s="29" t="s">
        <v>2032</v>
      </c>
      <c r="T857" s="29"/>
      <c r="U857" s="29"/>
      <c r="V857" s="29"/>
      <c r="W857" s="30" t="s">
        <v>2032</v>
      </c>
      <c r="X857" s="29" t="s">
        <v>2032</v>
      </c>
      <c r="Y857" s="29"/>
      <c r="Z857" s="29"/>
      <c r="AA857" s="29"/>
      <c r="AB857" s="27" t="s">
        <v>2056</v>
      </c>
      <c r="AC857" s="27"/>
      <c r="AD857" s="27"/>
      <c r="AE857" s="31">
        <f>37.05</f>
        <v>37.05</v>
      </c>
      <c r="AF857" s="31"/>
      <c r="AG857" s="31"/>
    </row>
    <row r="858" spans="1:33" s="1" customFormat="1" ht="18.75" customHeight="1">
      <c r="A858" s="24" t="s">
        <v>870</v>
      </c>
      <c r="B858" s="25" t="s">
        <v>871</v>
      </c>
      <c r="C858" s="25"/>
      <c r="D858" s="25"/>
      <c r="E858" s="26" t="s">
        <v>872</v>
      </c>
      <c r="F858" s="26"/>
      <c r="G858" s="26"/>
      <c r="H858" s="26"/>
      <c r="I858" s="26"/>
      <c r="J858" s="27" t="s">
        <v>2056</v>
      </c>
      <c r="K858" s="27"/>
      <c r="L858" s="27"/>
      <c r="M858" s="27"/>
      <c r="N858" s="28">
        <f>300</f>
        <v>300</v>
      </c>
      <c r="O858" s="28"/>
      <c r="P858" s="28"/>
      <c r="Q858" s="27" t="s">
        <v>2032</v>
      </c>
      <c r="R858" s="27"/>
      <c r="S858" s="29" t="s">
        <v>2032</v>
      </c>
      <c r="T858" s="29"/>
      <c r="U858" s="29"/>
      <c r="V858" s="29"/>
      <c r="W858" s="30" t="s">
        <v>2032</v>
      </c>
      <c r="X858" s="29" t="s">
        <v>2032</v>
      </c>
      <c r="Y858" s="29"/>
      <c r="Z858" s="29"/>
      <c r="AA858" s="29"/>
      <c r="AB858" s="27" t="s">
        <v>2056</v>
      </c>
      <c r="AC858" s="27"/>
      <c r="AD858" s="27"/>
      <c r="AE858" s="31">
        <f>300</f>
        <v>300</v>
      </c>
      <c r="AF858" s="31"/>
      <c r="AG858" s="31"/>
    </row>
    <row r="859" spans="1:33" s="1" customFormat="1" ht="18.75" customHeight="1">
      <c r="A859" s="24" t="s">
        <v>873</v>
      </c>
      <c r="B859" s="25" t="s">
        <v>874</v>
      </c>
      <c r="C859" s="25"/>
      <c r="D859" s="25"/>
      <c r="E859" s="26" t="s">
        <v>875</v>
      </c>
      <c r="F859" s="26"/>
      <c r="G859" s="26"/>
      <c r="H859" s="26"/>
      <c r="I859" s="26"/>
      <c r="J859" s="27" t="s">
        <v>2056</v>
      </c>
      <c r="K859" s="27"/>
      <c r="L859" s="27"/>
      <c r="M859" s="27"/>
      <c r="N859" s="28">
        <f>73.06</f>
        <v>73.06</v>
      </c>
      <c r="O859" s="28"/>
      <c r="P859" s="28"/>
      <c r="Q859" s="27" t="s">
        <v>2032</v>
      </c>
      <c r="R859" s="27"/>
      <c r="S859" s="29" t="s">
        <v>2032</v>
      </c>
      <c r="T859" s="29"/>
      <c r="U859" s="29"/>
      <c r="V859" s="29"/>
      <c r="W859" s="30" t="s">
        <v>2032</v>
      </c>
      <c r="X859" s="29" t="s">
        <v>2032</v>
      </c>
      <c r="Y859" s="29"/>
      <c r="Z859" s="29"/>
      <c r="AA859" s="29"/>
      <c r="AB859" s="27" t="s">
        <v>2056</v>
      </c>
      <c r="AC859" s="27"/>
      <c r="AD859" s="27"/>
      <c r="AE859" s="31">
        <f>73.06</f>
        <v>73.06</v>
      </c>
      <c r="AF859" s="31"/>
      <c r="AG859" s="31"/>
    </row>
    <row r="860" spans="1:33" s="1" customFormat="1" ht="33" customHeight="1">
      <c r="A860" s="24" t="s">
        <v>876</v>
      </c>
      <c r="B860" s="25" t="s">
        <v>877</v>
      </c>
      <c r="C860" s="25"/>
      <c r="D860" s="25"/>
      <c r="E860" s="26" t="s">
        <v>878</v>
      </c>
      <c r="F860" s="26"/>
      <c r="G860" s="26"/>
      <c r="H860" s="26"/>
      <c r="I860" s="26"/>
      <c r="J860" s="27" t="s">
        <v>2056</v>
      </c>
      <c r="K860" s="27"/>
      <c r="L860" s="27"/>
      <c r="M860" s="27"/>
      <c r="N860" s="28">
        <f>78</f>
        <v>78</v>
      </c>
      <c r="O860" s="28"/>
      <c r="P860" s="28"/>
      <c r="Q860" s="27" t="s">
        <v>2032</v>
      </c>
      <c r="R860" s="27"/>
      <c r="S860" s="29" t="s">
        <v>2032</v>
      </c>
      <c r="T860" s="29"/>
      <c r="U860" s="29"/>
      <c r="V860" s="29"/>
      <c r="W860" s="30" t="s">
        <v>2032</v>
      </c>
      <c r="X860" s="29" t="s">
        <v>2032</v>
      </c>
      <c r="Y860" s="29"/>
      <c r="Z860" s="29"/>
      <c r="AA860" s="29"/>
      <c r="AB860" s="27" t="s">
        <v>2056</v>
      </c>
      <c r="AC860" s="27"/>
      <c r="AD860" s="27"/>
      <c r="AE860" s="31">
        <f>78</f>
        <v>78</v>
      </c>
      <c r="AF860" s="31"/>
      <c r="AG860" s="31"/>
    </row>
    <row r="861" spans="1:33" s="1" customFormat="1" ht="18.75" customHeight="1">
      <c r="A861" s="24" t="s">
        <v>879</v>
      </c>
      <c r="B861" s="25" t="s">
        <v>880</v>
      </c>
      <c r="C861" s="25"/>
      <c r="D861" s="25"/>
      <c r="E861" s="26" t="s">
        <v>881</v>
      </c>
      <c r="F861" s="26"/>
      <c r="G861" s="26"/>
      <c r="H861" s="26"/>
      <c r="I861" s="26"/>
      <c r="J861" s="27" t="s">
        <v>2056</v>
      </c>
      <c r="K861" s="27"/>
      <c r="L861" s="27"/>
      <c r="M861" s="27"/>
      <c r="N861" s="28">
        <f>886</f>
        <v>886</v>
      </c>
      <c r="O861" s="28"/>
      <c r="P861" s="28"/>
      <c r="Q861" s="27" t="s">
        <v>2032</v>
      </c>
      <c r="R861" s="27"/>
      <c r="S861" s="29" t="s">
        <v>2032</v>
      </c>
      <c r="T861" s="29"/>
      <c r="U861" s="29"/>
      <c r="V861" s="29"/>
      <c r="W861" s="30" t="s">
        <v>2032</v>
      </c>
      <c r="X861" s="29" t="s">
        <v>2032</v>
      </c>
      <c r="Y861" s="29"/>
      <c r="Z861" s="29"/>
      <c r="AA861" s="29"/>
      <c r="AB861" s="27" t="s">
        <v>2056</v>
      </c>
      <c r="AC861" s="27"/>
      <c r="AD861" s="27"/>
      <c r="AE861" s="31">
        <f>886</f>
        <v>886</v>
      </c>
      <c r="AF861" s="31"/>
      <c r="AG861" s="31"/>
    </row>
    <row r="862" spans="1:33" s="1" customFormat="1" ht="18.75" customHeight="1">
      <c r="A862" s="24" t="s">
        <v>882</v>
      </c>
      <c r="B862" s="25" t="s">
        <v>883</v>
      </c>
      <c r="C862" s="25"/>
      <c r="D862" s="25"/>
      <c r="E862" s="26" t="s">
        <v>884</v>
      </c>
      <c r="F862" s="26"/>
      <c r="G862" s="26"/>
      <c r="H862" s="26"/>
      <c r="I862" s="26"/>
      <c r="J862" s="27" t="s">
        <v>2056</v>
      </c>
      <c r="K862" s="27"/>
      <c r="L862" s="27"/>
      <c r="M862" s="27"/>
      <c r="N862" s="28">
        <f>146</f>
        <v>146</v>
      </c>
      <c r="O862" s="28"/>
      <c r="P862" s="28"/>
      <c r="Q862" s="27" t="s">
        <v>2032</v>
      </c>
      <c r="R862" s="27"/>
      <c r="S862" s="29" t="s">
        <v>2032</v>
      </c>
      <c r="T862" s="29"/>
      <c r="U862" s="29"/>
      <c r="V862" s="29"/>
      <c r="W862" s="30" t="s">
        <v>2032</v>
      </c>
      <c r="X862" s="29" t="s">
        <v>2032</v>
      </c>
      <c r="Y862" s="29"/>
      <c r="Z862" s="29"/>
      <c r="AA862" s="29"/>
      <c r="AB862" s="27" t="s">
        <v>2056</v>
      </c>
      <c r="AC862" s="27"/>
      <c r="AD862" s="27"/>
      <c r="AE862" s="31">
        <f>146</f>
        <v>146</v>
      </c>
      <c r="AF862" s="31"/>
      <c r="AG862" s="31"/>
    </row>
    <row r="863" spans="1:33" s="1" customFormat="1" ht="18.75" customHeight="1">
      <c r="A863" s="24" t="s">
        <v>885</v>
      </c>
      <c r="B863" s="25" t="s">
        <v>886</v>
      </c>
      <c r="C863" s="25"/>
      <c r="D863" s="25"/>
      <c r="E863" s="26" t="s">
        <v>887</v>
      </c>
      <c r="F863" s="26"/>
      <c r="G863" s="26"/>
      <c r="H863" s="26"/>
      <c r="I863" s="26"/>
      <c r="J863" s="27" t="s">
        <v>2061</v>
      </c>
      <c r="K863" s="27"/>
      <c r="L863" s="27"/>
      <c r="M863" s="27"/>
      <c r="N863" s="28">
        <f>3219.66</f>
        <v>3219.66</v>
      </c>
      <c r="O863" s="28"/>
      <c r="P863" s="28"/>
      <c r="Q863" s="27" t="s">
        <v>2032</v>
      </c>
      <c r="R863" s="27"/>
      <c r="S863" s="29" t="s">
        <v>2032</v>
      </c>
      <c r="T863" s="29"/>
      <c r="U863" s="29"/>
      <c r="V863" s="29"/>
      <c r="W863" s="30" t="s">
        <v>2032</v>
      </c>
      <c r="X863" s="29" t="s">
        <v>2032</v>
      </c>
      <c r="Y863" s="29"/>
      <c r="Z863" s="29"/>
      <c r="AA863" s="29"/>
      <c r="AB863" s="27" t="s">
        <v>2061</v>
      </c>
      <c r="AC863" s="27"/>
      <c r="AD863" s="27"/>
      <c r="AE863" s="31">
        <f>3219.66</f>
        <v>3219.66</v>
      </c>
      <c r="AF863" s="31"/>
      <c r="AG863" s="31"/>
    </row>
    <row r="864" spans="1:33" s="1" customFormat="1" ht="18.75" customHeight="1">
      <c r="A864" s="24" t="s">
        <v>888</v>
      </c>
      <c r="B864" s="25" t="s">
        <v>889</v>
      </c>
      <c r="C864" s="25"/>
      <c r="D864" s="25"/>
      <c r="E864" s="26" t="s">
        <v>890</v>
      </c>
      <c r="F864" s="26"/>
      <c r="G864" s="26"/>
      <c r="H864" s="26"/>
      <c r="I864" s="26"/>
      <c r="J864" s="27" t="s">
        <v>2108</v>
      </c>
      <c r="K864" s="27"/>
      <c r="L864" s="27"/>
      <c r="M864" s="27"/>
      <c r="N864" s="28">
        <f>8649.2</f>
        <v>8649.2</v>
      </c>
      <c r="O864" s="28"/>
      <c r="P864" s="28"/>
      <c r="Q864" s="27" t="s">
        <v>2032</v>
      </c>
      <c r="R864" s="27"/>
      <c r="S864" s="29" t="s">
        <v>2032</v>
      </c>
      <c r="T864" s="29"/>
      <c r="U864" s="29"/>
      <c r="V864" s="29"/>
      <c r="W864" s="30" t="s">
        <v>2032</v>
      </c>
      <c r="X864" s="29" t="s">
        <v>2032</v>
      </c>
      <c r="Y864" s="29"/>
      <c r="Z864" s="29"/>
      <c r="AA864" s="29"/>
      <c r="AB864" s="27" t="s">
        <v>2108</v>
      </c>
      <c r="AC864" s="27"/>
      <c r="AD864" s="27"/>
      <c r="AE864" s="31">
        <f>8649.2</f>
        <v>8649.2</v>
      </c>
      <c r="AF864" s="31"/>
      <c r="AG864" s="31"/>
    </row>
    <row r="865" spans="1:33" s="1" customFormat="1" ht="18.75" customHeight="1">
      <c r="A865" s="24" t="s">
        <v>891</v>
      </c>
      <c r="B865" s="25" t="s">
        <v>2528</v>
      </c>
      <c r="C865" s="25"/>
      <c r="D865" s="25"/>
      <c r="E865" s="26" t="s">
        <v>892</v>
      </c>
      <c r="F865" s="26"/>
      <c r="G865" s="26"/>
      <c r="H865" s="26"/>
      <c r="I865" s="26"/>
      <c r="J865" s="27" t="s">
        <v>2059</v>
      </c>
      <c r="K865" s="27"/>
      <c r="L865" s="27"/>
      <c r="M865" s="27"/>
      <c r="N865" s="28">
        <f>2400</f>
        <v>2400</v>
      </c>
      <c r="O865" s="28"/>
      <c r="P865" s="28"/>
      <c r="Q865" s="27" t="s">
        <v>2032</v>
      </c>
      <c r="R865" s="27"/>
      <c r="S865" s="29" t="s">
        <v>2032</v>
      </c>
      <c r="T865" s="29"/>
      <c r="U865" s="29"/>
      <c r="V865" s="29"/>
      <c r="W865" s="30" t="s">
        <v>2032</v>
      </c>
      <c r="X865" s="29" t="s">
        <v>2032</v>
      </c>
      <c r="Y865" s="29"/>
      <c r="Z865" s="29"/>
      <c r="AA865" s="29"/>
      <c r="AB865" s="27" t="s">
        <v>2059</v>
      </c>
      <c r="AC865" s="27"/>
      <c r="AD865" s="27"/>
      <c r="AE865" s="31">
        <f>2400</f>
        <v>2400</v>
      </c>
      <c r="AF865" s="31"/>
      <c r="AG865" s="31"/>
    </row>
    <row r="866" spans="1:33" s="1" customFormat="1" ht="18.75" customHeight="1">
      <c r="A866" s="24" t="s">
        <v>893</v>
      </c>
      <c r="B866" s="25" t="s">
        <v>2543</v>
      </c>
      <c r="C866" s="25"/>
      <c r="D866" s="25"/>
      <c r="E866" s="26" t="s">
        <v>894</v>
      </c>
      <c r="F866" s="26"/>
      <c r="G866" s="26"/>
      <c r="H866" s="26"/>
      <c r="I866" s="26"/>
      <c r="J866" s="27" t="s">
        <v>2056</v>
      </c>
      <c r="K866" s="27"/>
      <c r="L866" s="27"/>
      <c r="M866" s="27"/>
      <c r="N866" s="28">
        <f>120</f>
        <v>120</v>
      </c>
      <c r="O866" s="28"/>
      <c r="P866" s="28"/>
      <c r="Q866" s="27" t="s">
        <v>2032</v>
      </c>
      <c r="R866" s="27"/>
      <c r="S866" s="29" t="s">
        <v>2032</v>
      </c>
      <c r="T866" s="29"/>
      <c r="U866" s="29"/>
      <c r="V866" s="29"/>
      <c r="W866" s="30" t="s">
        <v>2032</v>
      </c>
      <c r="X866" s="29" t="s">
        <v>2032</v>
      </c>
      <c r="Y866" s="29"/>
      <c r="Z866" s="29"/>
      <c r="AA866" s="29"/>
      <c r="AB866" s="27" t="s">
        <v>2056</v>
      </c>
      <c r="AC866" s="27"/>
      <c r="AD866" s="27"/>
      <c r="AE866" s="31">
        <f>120</f>
        <v>120</v>
      </c>
      <c r="AF866" s="31"/>
      <c r="AG866" s="31"/>
    </row>
    <row r="867" spans="1:33" s="1" customFormat="1" ht="18.75" customHeight="1">
      <c r="A867" s="24" t="s">
        <v>895</v>
      </c>
      <c r="B867" s="25" t="s">
        <v>896</v>
      </c>
      <c r="C867" s="25"/>
      <c r="D867" s="25"/>
      <c r="E867" s="26" t="s">
        <v>897</v>
      </c>
      <c r="F867" s="26"/>
      <c r="G867" s="26"/>
      <c r="H867" s="26"/>
      <c r="I867" s="26"/>
      <c r="J867" s="27" t="s">
        <v>2059</v>
      </c>
      <c r="K867" s="27"/>
      <c r="L867" s="27"/>
      <c r="M867" s="27"/>
      <c r="N867" s="28">
        <f>480</f>
        <v>480</v>
      </c>
      <c r="O867" s="28"/>
      <c r="P867" s="28"/>
      <c r="Q867" s="27" t="s">
        <v>2032</v>
      </c>
      <c r="R867" s="27"/>
      <c r="S867" s="29" t="s">
        <v>2032</v>
      </c>
      <c r="T867" s="29"/>
      <c r="U867" s="29"/>
      <c r="V867" s="29"/>
      <c r="W867" s="30" t="s">
        <v>2032</v>
      </c>
      <c r="X867" s="29" t="s">
        <v>2032</v>
      </c>
      <c r="Y867" s="29"/>
      <c r="Z867" s="29"/>
      <c r="AA867" s="29"/>
      <c r="AB867" s="27" t="s">
        <v>2059</v>
      </c>
      <c r="AC867" s="27"/>
      <c r="AD867" s="27"/>
      <c r="AE867" s="31">
        <f>480</f>
        <v>480</v>
      </c>
      <c r="AF867" s="31"/>
      <c r="AG867" s="31"/>
    </row>
    <row r="868" spans="1:33" s="1" customFormat="1" ht="18.75" customHeight="1">
      <c r="A868" s="24" t="s">
        <v>898</v>
      </c>
      <c r="B868" s="25" t="s">
        <v>899</v>
      </c>
      <c r="C868" s="25"/>
      <c r="D868" s="25"/>
      <c r="E868" s="26" t="s">
        <v>900</v>
      </c>
      <c r="F868" s="26"/>
      <c r="G868" s="26"/>
      <c r="H868" s="26"/>
      <c r="I868" s="26"/>
      <c r="J868" s="27" t="s">
        <v>2059</v>
      </c>
      <c r="K868" s="27"/>
      <c r="L868" s="27"/>
      <c r="M868" s="27"/>
      <c r="N868" s="28">
        <f>1960</f>
        <v>1960</v>
      </c>
      <c r="O868" s="28"/>
      <c r="P868" s="28"/>
      <c r="Q868" s="27" t="s">
        <v>2032</v>
      </c>
      <c r="R868" s="27"/>
      <c r="S868" s="29" t="s">
        <v>2032</v>
      </c>
      <c r="T868" s="29"/>
      <c r="U868" s="29"/>
      <c r="V868" s="29"/>
      <c r="W868" s="30" t="s">
        <v>2032</v>
      </c>
      <c r="X868" s="29" t="s">
        <v>2032</v>
      </c>
      <c r="Y868" s="29"/>
      <c r="Z868" s="29"/>
      <c r="AA868" s="29"/>
      <c r="AB868" s="27" t="s">
        <v>2059</v>
      </c>
      <c r="AC868" s="27"/>
      <c r="AD868" s="27"/>
      <c r="AE868" s="31">
        <f>1960</f>
        <v>1960</v>
      </c>
      <c r="AF868" s="31"/>
      <c r="AG868" s="31"/>
    </row>
    <row r="869" spans="1:33" s="1" customFormat="1" ht="33" customHeight="1">
      <c r="A869" s="24" t="s">
        <v>901</v>
      </c>
      <c r="B869" s="25" t="s">
        <v>902</v>
      </c>
      <c r="C869" s="25"/>
      <c r="D869" s="25"/>
      <c r="E869" s="26" t="s">
        <v>903</v>
      </c>
      <c r="F869" s="26"/>
      <c r="G869" s="26"/>
      <c r="H869" s="26"/>
      <c r="I869" s="26"/>
      <c r="J869" s="27" t="s">
        <v>2056</v>
      </c>
      <c r="K869" s="27"/>
      <c r="L869" s="27"/>
      <c r="M869" s="27"/>
      <c r="N869" s="28">
        <f>500</f>
        <v>500</v>
      </c>
      <c r="O869" s="28"/>
      <c r="P869" s="28"/>
      <c r="Q869" s="27" t="s">
        <v>2032</v>
      </c>
      <c r="R869" s="27"/>
      <c r="S869" s="29" t="s">
        <v>2032</v>
      </c>
      <c r="T869" s="29"/>
      <c r="U869" s="29"/>
      <c r="V869" s="29"/>
      <c r="W869" s="30" t="s">
        <v>2032</v>
      </c>
      <c r="X869" s="29" t="s">
        <v>2032</v>
      </c>
      <c r="Y869" s="29"/>
      <c r="Z869" s="29"/>
      <c r="AA869" s="29"/>
      <c r="AB869" s="27" t="s">
        <v>2056</v>
      </c>
      <c r="AC869" s="27"/>
      <c r="AD869" s="27"/>
      <c r="AE869" s="31">
        <f>500</f>
        <v>500</v>
      </c>
      <c r="AF869" s="31"/>
      <c r="AG869" s="31"/>
    </row>
    <row r="870" spans="1:33" s="1" customFormat="1" ht="18.75" customHeight="1">
      <c r="A870" s="24" t="s">
        <v>904</v>
      </c>
      <c r="B870" s="25" t="s">
        <v>905</v>
      </c>
      <c r="C870" s="25"/>
      <c r="D870" s="25"/>
      <c r="E870" s="26" t="s">
        <v>906</v>
      </c>
      <c r="F870" s="26"/>
      <c r="G870" s="26"/>
      <c r="H870" s="26"/>
      <c r="I870" s="26"/>
      <c r="J870" s="27" t="s">
        <v>2065</v>
      </c>
      <c r="K870" s="27"/>
      <c r="L870" s="27"/>
      <c r="M870" s="27"/>
      <c r="N870" s="28">
        <f>7351.4</f>
        <v>7351.4</v>
      </c>
      <c r="O870" s="28"/>
      <c r="P870" s="28"/>
      <c r="Q870" s="27" t="s">
        <v>2032</v>
      </c>
      <c r="R870" s="27"/>
      <c r="S870" s="29" t="s">
        <v>2032</v>
      </c>
      <c r="T870" s="29"/>
      <c r="U870" s="29"/>
      <c r="V870" s="29"/>
      <c r="W870" s="30" t="s">
        <v>2032</v>
      </c>
      <c r="X870" s="29" t="s">
        <v>2032</v>
      </c>
      <c r="Y870" s="29"/>
      <c r="Z870" s="29"/>
      <c r="AA870" s="29"/>
      <c r="AB870" s="27" t="s">
        <v>2065</v>
      </c>
      <c r="AC870" s="27"/>
      <c r="AD870" s="27"/>
      <c r="AE870" s="31">
        <f>7351.4</f>
        <v>7351.4</v>
      </c>
      <c r="AF870" s="31"/>
      <c r="AG870" s="31"/>
    </row>
    <row r="871" spans="1:33" s="1" customFormat="1" ht="33" customHeight="1">
      <c r="A871" s="24" t="s">
        <v>907</v>
      </c>
      <c r="B871" s="25" t="s">
        <v>908</v>
      </c>
      <c r="C871" s="25"/>
      <c r="D871" s="25"/>
      <c r="E871" s="26" t="s">
        <v>909</v>
      </c>
      <c r="F871" s="26"/>
      <c r="G871" s="26"/>
      <c r="H871" s="26"/>
      <c r="I871" s="26"/>
      <c r="J871" s="27" t="s">
        <v>2123</v>
      </c>
      <c r="K871" s="27"/>
      <c r="L871" s="27"/>
      <c r="M871" s="27"/>
      <c r="N871" s="28">
        <f>20925</f>
        <v>20925</v>
      </c>
      <c r="O871" s="28"/>
      <c r="P871" s="28"/>
      <c r="Q871" s="27" t="s">
        <v>2032</v>
      </c>
      <c r="R871" s="27"/>
      <c r="S871" s="29" t="s">
        <v>2032</v>
      </c>
      <c r="T871" s="29"/>
      <c r="U871" s="29"/>
      <c r="V871" s="29"/>
      <c r="W871" s="30" t="s">
        <v>2032</v>
      </c>
      <c r="X871" s="29" t="s">
        <v>2032</v>
      </c>
      <c r="Y871" s="29"/>
      <c r="Z871" s="29"/>
      <c r="AA871" s="29"/>
      <c r="AB871" s="27" t="s">
        <v>2123</v>
      </c>
      <c r="AC871" s="27"/>
      <c r="AD871" s="27"/>
      <c r="AE871" s="31">
        <f>20925</f>
        <v>20925</v>
      </c>
      <c r="AF871" s="31"/>
      <c r="AG871" s="31"/>
    </row>
    <row r="872" spans="1:33" s="1" customFormat="1" ht="18.75" customHeight="1">
      <c r="A872" s="24" t="s">
        <v>910</v>
      </c>
      <c r="B872" s="25" t="s">
        <v>2477</v>
      </c>
      <c r="C872" s="25"/>
      <c r="D872" s="25"/>
      <c r="E872" s="26" t="s">
        <v>911</v>
      </c>
      <c r="F872" s="26"/>
      <c r="G872" s="26"/>
      <c r="H872" s="26"/>
      <c r="I872" s="26"/>
      <c r="J872" s="27" t="s">
        <v>2064</v>
      </c>
      <c r="K872" s="27"/>
      <c r="L872" s="27"/>
      <c r="M872" s="27"/>
      <c r="N872" s="28">
        <f>2088.12</f>
        <v>2088.12</v>
      </c>
      <c r="O872" s="28"/>
      <c r="P872" s="28"/>
      <c r="Q872" s="27" t="s">
        <v>2032</v>
      </c>
      <c r="R872" s="27"/>
      <c r="S872" s="29" t="s">
        <v>2032</v>
      </c>
      <c r="T872" s="29"/>
      <c r="U872" s="29"/>
      <c r="V872" s="29"/>
      <c r="W872" s="30" t="s">
        <v>2032</v>
      </c>
      <c r="X872" s="29" t="s">
        <v>2032</v>
      </c>
      <c r="Y872" s="29"/>
      <c r="Z872" s="29"/>
      <c r="AA872" s="29"/>
      <c r="AB872" s="27" t="s">
        <v>2064</v>
      </c>
      <c r="AC872" s="27"/>
      <c r="AD872" s="27"/>
      <c r="AE872" s="31">
        <f>2088.12</f>
        <v>2088.12</v>
      </c>
      <c r="AF872" s="31"/>
      <c r="AG872" s="31"/>
    </row>
    <row r="873" spans="1:33" s="1" customFormat="1" ht="33" customHeight="1">
      <c r="A873" s="24" t="s">
        <v>912</v>
      </c>
      <c r="B873" s="25" t="s">
        <v>2447</v>
      </c>
      <c r="C873" s="25"/>
      <c r="D873" s="25"/>
      <c r="E873" s="26" t="s">
        <v>913</v>
      </c>
      <c r="F873" s="26"/>
      <c r="G873" s="26"/>
      <c r="H873" s="26"/>
      <c r="I873" s="26"/>
      <c r="J873" s="27" t="s">
        <v>2090</v>
      </c>
      <c r="K873" s="27"/>
      <c r="L873" s="27"/>
      <c r="M873" s="27"/>
      <c r="N873" s="28">
        <f>7205.78</f>
        <v>7205.78</v>
      </c>
      <c r="O873" s="28"/>
      <c r="P873" s="28"/>
      <c r="Q873" s="27" t="s">
        <v>2032</v>
      </c>
      <c r="R873" s="27"/>
      <c r="S873" s="29" t="s">
        <v>2032</v>
      </c>
      <c r="T873" s="29"/>
      <c r="U873" s="29"/>
      <c r="V873" s="29"/>
      <c r="W873" s="30" t="s">
        <v>2032</v>
      </c>
      <c r="X873" s="29" t="s">
        <v>2032</v>
      </c>
      <c r="Y873" s="29"/>
      <c r="Z873" s="29"/>
      <c r="AA873" s="29"/>
      <c r="AB873" s="27" t="s">
        <v>2090</v>
      </c>
      <c r="AC873" s="27"/>
      <c r="AD873" s="27"/>
      <c r="AE873" s="31">
        <f>7205.78</f>
        <v>7205.78</v>
      </c>
      <c r="AF873" s="31"/>
      <c r="AG873" s="31"/>
    </row>
    <row r="874" spans="1:33" s="1" customFormat="1" ht="18.75" customHeight="1">
      <c r="A874" s="24" t="s">
        <v>914</v>
      </c>
      <c r="B874" s="25" t="s">
        <v>623</v>
      </c>
      <c r="C874" s="25"/>
      <c r="D874" s="25"/>
      <c r="E874" s="26" t="s">
        <v>915</v>
      </c>
      <c r="F874" s="26"/>
      <c r="G874" s="26"/>
      <c r="H874" s="26"/>
      <c r="I874" s="26"/>
      <c r="J874" s="27" t="s">
        <v>2174</v>
      </c>
      <c r="K874" s="27"/>
      <c r="L874" s="27"/>
      <c r="M874" s="27"/>
      <c r="N874" s="28">
        <f>22560</f>
        <v>22560</v>
      </c>
      <c r="O874" s="28"/>
      <c r="P874" s="28"/>
      <c r="Q874" s="27" t="s">
        <v>2032</v>
      </c>
      <c r="R874" s="27"/>
      <c r="S874" s="29" t="s">
        <v>2032</v>
      </c>
      <c r="T874" s="29"/>
      <c r="U874" s="29"/>
      <c r="V874" s="29"/>
      <c r="W874" s="30" t="s">
        <v>2032</v>
      </c>
      <c r="X874" s="29" t="s">
        <v>2032</v>
      </c>
      <c r="Y874" s="29"/>
      <c r="Z874" s="29"/>
      <c r="AA874" s="29"/>
      <c r="AB874" s="27" t="s">
        <v>2174</v>
      </c>
      <c r="AC874" s="27"/>
      <c r="AD874" s="27"/>
      <c r="AE874" s="31">
        <f>22560</f>
        <v>22560</v>
      </c>
      <c r="AF874" s="31"/>
      <c r="AG874" s="31"/>
    </row>
    <row r="875" spans="1:33" s="1" customFormat="1" ht="33" customHeight="1">
      <c r="A875" s="24" t="s">
        <v>916</v>
      </c>
      <c r="B875" s="25" t="s">
        <v>917</v>
      </c>
      <c r="C875" s="25"/>
      <c r="D875" s="25"/>
      <c r="E875" s="26" t="s">
        <v>918</v>
      </c>
      <c r="F875" s="26"/>
      <c r="G875" s="26"/>
      <c r="H875" s="26"/>
      <c r="I875" s="26"/>
      <c r="J875" s="27" t="s">
        <v>2138</v>
      </c>
      <c r="K875" s="27"/>
      <c r="L875" s="27"/>
      <c r="M875" s="27"/>
      <c r="N875" s="28">
        <f>29100</f>
        <v>29100</v>
      </c>
      <c r="O875" s="28"/>
      <c r="P875" s="28"/>
      <c r="Q875" s="27" t="s">
        <v>2032</v>
      </c>
      <c r="R875" s="27"/>
      <c r="S875" s="29" t="s">
        <v>2032</v>
      </c>
      <c r="T875" s="29"/>
      <c r="U875" s="29"/>
      <c r="V875" s="29"/>
      <c r="W875" s="30" t="s">
        <v>2032</v>
      </c>
      <c r="X875" s="29" t="s">
        <v>2032</v>
      </c>
      <c r="Y875" s="29"/>
      <c r="Z875" s="29"/>
      <c r="AA875" s="29"/>
      <c r="AB875" s="27" t="s">
        <v>2138</v>
      </c>
      <c r="AC875" s="27"/>
      <c r="AD875" s="27"/>
      <c r="AE875" s="31">
        <f>29100</f>
        <v>29100</v>
      </c>
      <c r="AF875" s="31"/>
      <c r="AG875" s="31"/>
    </row>
    <row r="876" spans="1:33" s="1" customFormat="1" ht="33" customHeight="1">
      <c r="A876" s="24" t="s">
        <v>919</v>
      </c>
      <c r="B876" s="25" t="s">
        <v>920</v>
      </c>
      <c r="C876" s="25"/>
      <c r="D876" s="25"/>
      <c r="E876" s="26" t="s">
        <v>921</v>
      </c>
      <c r="F876" s="26"/>
      <c r="G876" s="26"/>
      <c r="H876" s="26"/>
      <c r="I876" s="26"/>
      <c r="J876" s="27" t="s">
        <v>2138</v>
      </c>
      <c r="K876" s="27"/>
      <c r="L876" s="27"/>
      <c r="M876" s="27"/>
      <c r="N876" s="28">
        <f>25050.1</f>
        <v>25050.1</v>
      </c>
      <c r="O876" s="28"/>
      <c r="P876" s="28"/>
      <c r="Q876" s="27" t="s">
        <v>2032</v>
      </c>
      <c r="R876" s="27"/>
      <c r="S876" s="29" t="s">
        <v>2032</v>
      </c>
      <c r="T876" s="29"/>
      <c r="U876" s="29"/>
      <c r="V876" s="29"/>
      <c r="W876" s="30" t="s">
        <v>2032</v>
      </c>
      <c r="X876" s="29" t="s">
        <v>2032</v>
      </c>
      <c r="Y876" s="29"/>
      <c r="Z876" s="29"/>
      <c r="AA876" s="29"/>
      <c r="AB876" s="27" t="s">
        <v>2138</v>
      </c>
      <c r="AC876" s="27"/>
      <c r="AD876" s="27"/>
      <c r="AE876" s="31">
        <f>25050.1</f>
        <v>25050.1</v>
      </c>
      <c r="AF876" s="31"/>
      <c r="AG876" s="31"/>
    </row>
    <row r="877" spans="1:33" s="1" customFormat="1" ht="46.5" customHeight="1">
      <c r="A877" s="24" t="s">
        <v>922</v>
      </c>
      <c r="B877" s="25" t="s">
        <v>923</v>
      </c>
      <c r="C877" s="25"/>
      <c r="D877" s="25"/>
      <c r="E877" s="26" t="s">
        <v>924</v>
      </c>
      <c r="F877" s="26"/>
      <c r="G877" s="26"/>
      <c r="H877" s="26"/>
      <c r="I877" s="26"/>
      <c r="J877" s="27" t="s">
        <v>2159</v>
      </c>
      <c r="K877" s="27"/>
      <c r="L877" s="27"/>
      <c r="M877" s="27"/>
      <c r="N877" s="28">
        <f>42254</f>
        <v>42254</v>
      </c>
      <c r="O877" s="28"/>
      <c r="P877" s="28"/>
      <c r="Q877" s="27" t="s">
        <v>2032</v>
      </c>
      <c r="R877" s="27"/>
      <c r="S877" s="29" t="s">
        <v>2032</v>
      </c>
      <c r="T877" s="29"/>
      <c r="U877" s="29"/>
      <c r="V877" s="29"/>
      <c r="W877" s="30" t="s">
        <v>2032</v>
      </c>
      <c r="X877" s="29" t="s">
        <v>2032</v>
      </c>
      <c r="Y877" s="29"/>
      <c r="Z877" s="29"/>
      <c r="AA877" s="29"/>
      <c r="AB877" s="27" t="s">
        <v>2159</v>
      </c>
      <c r="AC877" s="27"/>
      <c r="AD877" s="27"/>
      <c r="AE877" s="31">
        <f>42254</f>
        <v>42254</v>
      </c>
      <c r="AF877" s="31"/>
      <c r="AG877" s="31"/>
    </row>
    <row r="878" spans="1:33" s="1" customFormat="1" ht="33" customHeight="1">
      <c r="A878" s="24" t="s">
        <v>925</v>
      </c>
      <c r="B878" s="25" t="s">
        <v>926</v>
      </c>
      <c r="C878" s="25"/>
      <c r="D878" s="25"/>
      <c r="E878" s="26" t="s">
        <v>927</v>
      </c>
      <c r="F878" s="26"/>
      <c r="G878" s="26"/>
      <c r="H878" s="26"/>
      <c r="I878" s="26"/>
      <c r="J878" s="27" t="s">
        <v>2156</v>
      </c>
      <c r="K878" s="27"/>
      <c r="L878" s="27"/>
      <c r="M878" s="27"/>
      <c r="N878" s="28">
        <f>27720</f>
        <v>27720</v>
      </c>
      <c r="O878" s="28"/>
      <c r="P878" s="28"/>
      <c r="Q878" s="27" t="s">
        <v>2032</v>
      </c>
      <c r="R878" s="27"/>
      <c r="S878" s="29" t="s">
        <v>2032</v>
      </c>
      <c r="T878" s="29"/>
      <c r="U878" s="29"/>
      <c r="V878" s="29"/>
      <c r="W878" s="30" t="s">
        <v>2032</v>
      </c>
      <c r="X878" s="29" t="s">
        <v>2032</v>
      </c>
      <c r="Y878" s="29"/>
      <c r="Z878" s="29"/>
      <c r="AA878" s="29"/>
      <c r="AB878" s="27" t="s">
        <v>2156</v>
      </c>
      <c r="AC878" s="27"/>
      <c r="AD878" s="27"/>
      <c r="AE878" s="31">
        <f>27720</f>
        <v>27720</v>
      </c>
      <c r="AF878" s="31"/>
      <c r="AG878" s="31"/>
    </row>
    <row r="879" spans="1:33" s="1" customFormat="1" ht="33" customHeight="1">
      <c r="A879" s="24" t="s">
        <v>928</v>
      </c>
      <c r="B879" s="25" t="s">
        <v>929</v>
      </c>
      <c r="C879" s="25"/>
      <c r="D879" s="25"/>
      <c r="E879" s="26" t="s">
        <v>930</v>
      </c>
      <c r="F879" s="26"/>
      <c r="G879" s="26"/>
      <c r="H879" s="26"/>
      <c r="I879" s="26"/>
      <c r="J879" s="27" t="s">
        <v>2085</v>
      </c>
      <c r="K879" s="27"/>
      <c r="L879" s="27"/>
      <c r="M879" s="27"/>
      <c r="N879" s="28">
        <f>8031.96</f>
        <v>8031.96</v>
      </c>
      <c r="O879" s="28"/>
      <c r="P879" s="28"/>
      <c r="Q879" s="27" t="s">
        <v>2032</v>
      </c>
      <c r="R879" s="27"/>
      <c r="S879" s="29" t="s">
        <v>2032</v>
      </c>
      <c r="T879" s="29"/>
      <c r="U879" s="29"/>
      <c r="V879" s="29"/>
      <c r="W879" s="30" t="s">
        <v>2032</v>
      </c>
      <c r="X879" s="29" t="s">
        <v>2032</v>
      </c>
      <c r="Y879" s="29"/>
      <c r="Z879" s="29"/>
      <c r="AA879" s="29"/>
      <c r="AB879" s="27" t="s">
        <v>2085</v>
      </c>
      <c r="AC879" s="27"/>
      <c r="AD879" s="27"/>
      <c r="AE879" s="31">
        <f>8031.96</f>
        <v>8031.96</v>
      </c>
      <c r="AF879" s="31"/>
      <c r="AG879" s="31"/>
    </row>
    <row r="880" spans="1:33" s="1" customFormat="1" ht="18.75" customHeight="1">
      <c r="A880" s="24" t="s">
        <v>931</v>
      </c>
      <c r="B880" s="25" t="s">
        <v>2672</v>
      </c>
      <c r="C880" s="25"/>
      <c r="D880" s="25"/>
      <c r="E880" s="26" t="s">
        <v>932</v>
      </c>
      <c r="F880" s="26"/>
      <c r="G880" s="26"/>
      <c r="H880" s="26"/>
      <c r="I880" s="26"/>
      <c r="J880" s="27" t="s">
        <v>2108</v>
      </c>
      <c r="K880" s="27"/>
      <c r="L880" s="27"/>
      <c r="M880" s="27"/>
      <c r="N880" s="28">
        <f>10900</f>
        <v>10900</v>
      </c>
      <c r="O880" s="28"/>
      <c r="P880" s="28"/>
      <c r="Q880" s="27" t="s">
        <v>2032</v>
      </c>
      <c r="R880" s="27"/>
      <c r="S880" s="29" t="s">
        <v>2032</v>
      </c>
      <c r="T880" s="29"/>
      <c r="U880" s="29"/>
      <c r="V880" s="29"/>
      <c r="W880" s="30" t="s">
        <v>2032</v>
      </c>
      <c r="X880" s="29" t="s">
        <v>2032</v>
      </c>
      <c r="Y880" s="29"/>
      <c r="Z880" s="29"/>
      <c r="AA880" s="29"/>
      <c r="AB880" s="27" t="s">
        <v>2108</v>
      </c>
      <c r="AC880" s="27"/>
      <c r="AD880" s="27"/>
      <c r="AE880" s="31">
        <f>10900</f>
        <v>10900</v>
      </c>
      <c r="AF880" s="31"/>
      <c r="AG880" s="31"/>
    </row>
    <row r="881" spans="1:33" s="1" customFormat="1" ht="33" customHeight="1">
      <c r="A881" s="24" t="s">
        <v>933</v>
      </c>
      <c r="B881" s="25" t="s">
        <v>934</v>
      </c>
      <c r="C881" s="25"/>
      <c r="D881" s="25"/>
      <c r="E881" s="26" t="s">
        <v>935</v>
      </c>
      <c r="F881" s="26"/>
      <c r="G881" s="26"/>
      <c r="H881" s="26"/>
      <c r="I881" s="26"/>
      <c r="J881" s="27" t="s">
        <v>2108</v>
      </c>
      <c r="K881" s="27"/>
      <c r="L881" s="27"/>
      <c r="M881" s="27"/>
      <c r="N881" s="28">
        <f>18000</f>
        <v>18000</v>
      </c>
      <c r="O881" s="28"/>
      <c r="P881" s="28"/>
      <c r="Q881" s="27" t="s">
        <v>2032</v>
      </c>
      <c r="R881" s="27"/>
      <c r="S881" s="29" t="s">
        <v>2032</v>
      </c>
      <c r="T881" s="29"/>
      <c r="U881" s="29"/>
      <c r="V881" s="29"/>
      <c r="W881" s="30" t="s">
        <v>2032</v>
      </c>
      <c r="X881" s="29" t="s">
        <v>2032</v>
      </c>
      <c r="Y881" s="29"/>
      <c r="Z881" s="29"/>
      <c r="AA881" s="29"/>
      <c r="AB881" s="27" t="s">
        <v>2108</v>
      </c>
      <c r="AC881" s="27"/>
      <c r="AD881" s="27"/>
      <c r="AE881" s="31">
        <f>18000</f>
        <v>18000</v>
      </c>
      <c r="AF881" s="31"/>
      <c r="AG881" s="31"/>
    </row>
    <row r="882" spans="1:33" s="1" customFormat="1" ht="18.75" customHeight="1">
      <c r="A882" s="24" t="s">
        <v>936</v>
      </c>
      <c r="B882" s="25" t="s">
        <v>937</v>
      </c>
      <c r="C882" s="25"/>
      <c r="D882" s="25"/>
      <c r="E882" s="26" t="s">
        <v>938</v>
      </c>
      <c r="F882" s="26"/>
      <c r="G882" s="26"/>
      <c r="H882" s="26"/>
      <c r="I882" s="26"/>
      <c r="J882" s="27" t="s">
        <v>2292</v>
      </c>
      <c r="K882" s="27"/>
      <c r="L882" s="27"/>
      <c r="M882" s="27"/>
      <c r="N882" s="28">
        <f>46200</f>
        <v>46200</v>
      </c>
      <c r="O882" s="28"/>
      <c r="P882" s="28"/>
      <c r="Q882" s="27" t="s">
        <v>2032</v>
      </c>
      <c r="R882" s="27"/>
      <c r="S882" s="29" t="s">
        <v>2032</v>
      </c>
      <c r="T882" s="29"/>
      <c r="U882" s="29"/>
      <c r="V882" s="29"/>
      <c r="W882" s="30" t="s">
        <v>2032</v>
      </c>
      <c r="X882" s="29" t="s">
        <v>2032</v>
      </c>
      <c r="Y882" s="29"/>
      <c r="Z882" s="29"/>
      <c r="AA882" s="29"/>
      <c r="AB882" s="27" t="s">
        <v>2292</v>
      </c>
      <c r="AC882" s="27"/>
      <c r="AD882" s="27"/>
      <c r="AE882" s="31">
        <f>46200</f>
        <v>46200</v>
      </c>
      <c r="AF882" s="31"/>
      <c r="AG882" s="31"/>
    </row>
    <row r="883" spans="1:33" s="1" customFormat="1" ht="33" customHeight="1">
      <c r="A883" s="24" t="s">
        <v>939</v>
      </c>
      <c r="B883" s="25" t="s">
        <v>940</v>
      </c>
      <c r="C883" s="25"/>
      <c r="D883" s="25"/>
      <c r="E883" s="26" t="s">
        <v>941</v>
      </c>
      <c r="F883" s="26"/>
      <c r="G883" s="26"/>
      <c r="H883" s="26"/>
      <c r="I883" s="26"/>
      <c r="J883" s="27" t="s">
        <v>2061</v>
      </c>
      <c r="K883" s="27"/>
      <c r="L883" s="27"/>
      <c r="M883" s="27"/>
      <c r="N883" s="28">
        <f>3300</f>
        <v>3300</v>
      </c>
      <c r="O883" s="28"/>
      <c r="P883" s="28"/>
      <c r="Q883" s="27" t="s">
        <v>2032</v>
      </c>
      <c r="R883" s="27"/>
      <c r="S883" s="29" t="s">
        <v>2032</v>
      </c>
      <c r="T883" s="29"/>
      <c r="U883" s="29"/>
      <c r="V883" s="29"/>
      <c r="W883" s="30" t="s">
        <v>2032</v>
      </c>
      <c r="X883" s="29" t="s">
        <v>2032</v>
      </c>
      <c r="Y883" s="29"/>
      <c r="Z883" s="29"/>
      <c r="AA883" s="29"/>
      <c r="AB883" s="27" t="s">
        <v>2061</v>
      </c>
      <c r="AC883" s="27"/>
      <c r="AD883" s="27"/>
      <c r="AE883" s="31">
        <f>3300</f>
        <v>3300</v>
      </c>
      <c r="AF883" s="31"/>
      <c r="AG883" s="31"/>
    </row>
    <row r="884" spans="1:33" s="1" customFormat="1" ht="33" customHeight="1">
      <c r="A884" s="24" t="s">
        <v>942</v>
      </c>
      <c r="B884" s="25" t="s">
        <v>2468</v>
      </c>
      <c r="C884" s="25"/>
      <c r="D884" s="25"/>
      <c r="E884" s="26" t="s">
        <v>943</v>
      </c>
      <c r="F884" s="26"/>
      <c r="G884" s="26"/>
      <c r="H884" s="26"/>
      <c r="I884" s="26"/>
      <c r="J884" s="27" t="s">
        <v>2057</v>
      </c>
      <c r="K884" s="27"/>
      <c r="L884" s="27"/>
      <c r="M884" s="27"/>
      <c r="N884" s="28">
        <f>140</f>
        <v>140</v>
      </c>
      <c r="O884" s="28"/>
      <c r="P884" s="28"/>
      <c r="Q884" s="27" t="s">
        <v>2032</v>
      </c>
      <c r="R884" s="27"/>
      <c r="S884" s="29" t="s">
        <v>2032</v>
      </c>
      <c r="T884" s="29"/>
      <c r="U884" s="29"/>
      <c r="V884" s="29"/>
      <c r="W884" s="30" t="s">
        <v>2032</v>
      </c>
      <c r="X884" s="29" t="s">
        <v>2032</v>
      </c>
      <c r="Y884" s="29"/>
      <c r="Z884" s="29"/>
      <c r="AA884" s="29"/>
      <c r="AB884" s="27" t="s">
        <v>2057</v>
      </c>
      <c r="AC884" s="27"/>
      <c r="AD884" s="27"/>
      <c r="AE884" s="31">
        <f>140</f>
        <v>140</v>
      </c>
      <c r="AF884" s="31"/>
      <c r="AG884" s="31"/>
    </row>
    <row r="885" spans="1:33" s="1" customFormat="1" ht="18.75" customHeight="1">
      <c r="A885" s="24" t="s">
        <v>944</v>
      </c>
      <c r="B885" s="25" t="s">
        <v>945</v>
      </c>
      <c r="C885" s="25"/>
      <c r="D885" s="25"/>
      <c r="E885" s="26" t="s">
        <v>946</v>
      </c>
      <c r="F885" s="26"/>
      <c r="G885" s="26"/>
      <c r="H885" s="26"/>
      <c r="I885" s="26"/>
      <c r="J885" s="27" t="s">
        <v>2061</v>
      </c>
      <c r="K885" s="27"/>
      <c r="L885" s="27"/>
      <c r="M885" s="27"/>
      <c r="N885" s="28">
        <f>4324.6</f>
        <v>4324.6</v>
      </c>
      <c r="O885" s="28"/>
      <c r="P885" s="28"/>
      <c r="Q885" s="27" t="s">
        <v>2032</v>
      </c>
      <c r="R885" s="27"/>
      <c r="S885" s="29" t="s">
        <v>2032</v>
      </c>
      <c r="T885" s="29"/>
      <c r="U885" s="29"/>
      <c r="V885" s="29"/>
      <c r="W885" s="30" t="s">
        <v>2032</v>
      </c>
      <c r="X885" s="29" t="s">
        <v>2032</v>
      </c>
      <c r="Y885" s="29"/>
      <c r="Z885" s="29"/>
      <c r="AA885" s="29"/>
      <c r="AB885" s="27" t="s">
        <v>2061</v>
      </c>
      <c r="AC885" s="27"/>
      <c r="AD885" s="27"/>
      <c r="AE885" s="31">
        <f>4324.6</f>
        <v>4324.6</v>
      </c>
      <c r="AF885" s="31"/>
      <c r="AG885" s="31"/>
    </row>
    <row r="886" spans="1:33" s="1" customFormat="1" ht="33" customHeight="1">
      <c r="A886" s="24" t="s">
        <v>947</v>
      </c>
      <c r="B886" s="25" t="s">
        <v>948</v>
      </c>
      <c r="C886" s="25"/>
      <c r="D886" s="25"/>
      <c r="E886" s="26" t="s">
        <v>949</v>
      </c>
      <c r="F886" s="26"/>
      <c r="G886" s="26"/>
      <c r="H886" s="26"/>
      <c r="I886" s="26"/>
      <c r="J886" s="27" t="s">
        <v>2087</v>
      </c>
      <c r="K886" s="27"/>
      <c r="L886" s="27"/>
      <c r="M886" s="27"/>
      <c r="N886" s="28">
        <f>5460</f>
        <v>5460</v>
      </c>
      <c r="O886" s="28"/>
      <c r="P886" s="28"/>
      <c r="Q886" s="27" t="s">
        <v>2032</v>
      </c>
      <c r="R886" s="27"/>
      <c r="S886" s="29" t="s">
        <v>2032</v>
      </c>
      <c r="T886" s="29"/>
      <c r="U886" s="29"/>
      <c r="V886" s="29"/>
      <c r="W886" s="30" t="s">
        <v>2032</v>
      </c>
      <c r="X886" s="29" t="s">
        <v>2032</v>
      </c>
      <c r="Y886" s="29"/>
      <c r="Z886" s="29"/>
      <c r="AA886" s="29"/>
      <c r="AB886" s="27" t="s">
        <v>2087</v>
      </c>
      <c r="AC886" s="27"/>
      <c r="AD886" s="27"/>
      <c r="AE886" s="31">
        <f>5460</f>
        <v>5460</v>
      </c>
      <c r="AF886" s="31"/>
      <c r="AG886" s="31"/>
    </row>
    <row r="887" spans="1:33" s="1" customFormat="1" ht="33" customHeight="1">
      <c r="A887" s="24" t="s">
        <v>950</v>
      </c>
      <c r="B887" s="25" t="s">
        <v>951</v>
      </c>
      <c r="C887" s="25"/>
      <c r="D887" s="25"/>
      <c r="E887" s="26" t="s">
        <v>952</v>
      </c>
      <c r="F887" s="26"/>
      <c r="G887" s="26"/>
      <c r="H887" s="26"/>
      <c r="I887" s="26"/>
      <c r="J887" s="27" t="s">
        <v>2063</v>
      </c>
      <c r="K887" s="27"/>
      <c r="L887" s="27"/>
      <c r="M887" s="27"/>
      <c r="N887" s="28">
        <f>3919.96</f>
        <v>3919.96</v>
      </c>
      <c r="O887" s="28"/>
      <c r="P887" s="28"/>
      <c r="Q887" s="27" t="s">
        <v>2032</v>
      </c>
      <c r="R887" s="27"/>
      <c r="S887" s="29" t="s">
        <v>2032</v>
      </c>
      <c r="T887" s="29"/>
      <c r="U887" s="29"/>
      <c r="V887" s="29"/>
      <c r="W887" s="30" t="s">
        <v>2032</v>
      </c>
      <c r="X887" s="29" t="s">
        <v>2032</v>
      </c>
      <c r="Y887" s="29"/>
      <c r="Z887" s="29"/>
      <c r="AA887" s="29"/>
      <c r="AB887" s="27" t="s">
        <v>2063</v>
      </c>
      <c r="AC887" s="27"/>
      <c r="AD887" s="27"/>
      <c r="AE887" s="31">
        <f>3919.96</f>
        <v>3919.96</v>
      </c>
      <c r="AF887" s="31"/>
      <c r="AG887" s="31"/>
    </row>
    <row r="888" spans="1:33" s="1" customFormat="1" ht="18.75" customHeight="1">
      <c r="A888" s="24" t="s">
        <v>953</v>
      </c>
      <c r="B888" s="25" t="s">
        <v>2609</v>
      </c>
      <c r="C888" s="25"/>
      <c r="D888" s="25"/>
      <c r="E888" s="26" t="s">
        <v>954</v>
      </c>
      <c r="F888" s="26"/>
      <c r="G888" s="26"/>
      <c r="H888" s="26"/>
      <c r="I888" s="26"/>
      <c r="J888" s="27" t="s">
        <v>2063</v>
      </c>
      <c r="K888" s="27"/>
      <c r="L888" s="27"/>
      <c r="M888" s="27"/>
      <c r="N888" s="28">
        <f>5938.98</f>
        <v>5938.98</v>
      </c>
      <c r="O888" s="28"/>
      <c r="P888" s="28"/>
      <c r="Q888" s="27" t="s">
        <v>2032</v>
      </c>
      <c r="R888" s="27"/>
      <c r="S888" s="29" t="s">
        <v>2032</v>
      </c>
      <c r="T888" s="29"/>
      <c r="U888" s="29"/>
      <c r="V888" s="29"/>
      <c r="W888" s="30" t="s">
        <v>2032</v>
      </c>
      <c r="X888" s="29" t="s">
        <v>2032</v>
      </c>
      <c r="Y888" s="29"/>
      <c r="Z888" s="29"/>
      <c r="AA888" s="29"/>
      <c r="AB888" s="27" t="s">
        <v>2063</v>
      </c>
      <c r="AC888" s="27"/>
      <c r="AD888" s="27"/>
      <c r="AE888" s="31">
        <f>5938.98</f>
        <v>5938.98</v>
      </c>
      <c r="AF888" s="31"/>
      <c r="AG888" s="31"/>
    </row>
    <row r="889" spans="1:33" s="1" customFormat="1" ht="18.75" customHeight="1">
      <c r="A889" s="24" t="s">
        <v>955</v>
      </c>
      <c r="B889" s="25" t="s">
        <v>956</v>
      </c>
      <c r="C889" s="25"/>
      <c r="D889" s="25"/>
      <c r="E889" s="26" t="s">
        <v>957</v>
      </c>
      <c r="F889" s="26"/>
      <c r="G889" s="26"/>
      <c r="H889" s="26"/>
      <c r="I889" s="26"/>
      <c r="J889" s="27" t="s">
        <v>2057</v>
      </c>
      <c r="K889" s="27"/>
      <c r="L889" s="27"/>
      <c r="M889" s="27"/>
      <c r="N889" s="28">
        <f>290</f>
        <v>290</v>
      </c>
      <c r="O889" s="28"/>
      <c r="P889" s="28"/>
      <c r="Q889" s="27" t="s">
        <v>2032</v>
      </c>
      <c r="R889" s="27"/>
      <c r="S889" s="29" t="s">
        <v>2032</v>
      </c>
      <c r="T889" s="29"/>
      <c r="U889" s="29"/>
      <c r="V889" s="29"/>
      <c r="W889" s="30" t="s">
        <v>2032</v>
      </c>
      <c r="X889" s="29" t="s">
        <v>2032</v>
      </c>
      <c r="Y889" s="29"/>
      <c r="Z889" s="29"/>
      <c r="AA889" s="29"/>
      <c r="AB889" s="27" t="s">
        <v>2057</v>
      </c>
      <c r="AC889" s="27"/>
      <c r="AD889" s="27"/>
      <c r="AE889" s="31">
        <f>290</f>
        <v>290</v>
      </c>
      <c r="AF889" s="31"/>
      <c r="AG889" s="31"/>
    </row>
    <row r="890" spans="1:33" s="1" customFormat="1" ht="18.75" customHeight="1">
      <c r="A890" s="24" t="s">
        <v>958</v>
      </c>
      <c r="B890" s="25" t="s">
        <v>3033</v>
      </c>
      <c r="C890" s="25"/>
      <c r="D890" s="25"/>
      <c r="E890" s="26" t="s">
        <v>959</v>
      </c>
      <c r="F890" s="26"/>
      <c r="G890" s="26"/>
      <c r="H890" s="26"/>
      <c r="I890" s="26"/>
      <c r="J890" s="27" t="s">
        <v>2126</v>
      </c>
      <c r="K890" s="27"/>
      <c r="L890" s="27"/>
      <c r="M890" s="27"/>
      <c r="N890" s="28">
        <f>5367.02</f>
        <v>5367.02</v>
      </c>
      <c r="O890" s="28"/>
      <c r="P890" s="28"/>
      <c r="Q890" s="27" t="s">
        <v>2032</v>
      </c>
      <c r="R890" s="27"/>
      <c r="S890" s="29" t="s">
        <v>2032</v>
      </c>
      <c r="T890" s="29"/>
      <c r="U890" s="29"/>
      <c r="V890" s="29"/>
      <c r="W890" s="30" t="s">
        <v>2032</v>
      </c>
      <c r="X890" s="29" t="s">
        <v>2032</v>
      </c>
      <c r="Y890" s="29"/>
      <c r="Z890" s="29"/>
      <c r="AA890" s="29"/>
      <c r="AB890" s="27" t="s">
        <v>2126</v>
      </c>
      <c r="AC890" s="27"/>
      <c r="AD890" s="27"/>
      <c r="AE890" s="31">
        <f>5367.02</f>
        <v>5367.02</v>
      </c>
      <c r="AF890" s="31"/>
      <c r="AG890" s="31"/>
    </row>
    <row r="891" spans="1:33" s="1" customFormat="1" ht="18.75" customHeight="1">
      <c r="A891" s="24" t="s">
        <v>960</v>
      </c>
      <c r="B891" s="25" t="s">
        <v>2561</v>
      </c>
      <c r="C891" s="25"/>
      <c r="D891" s="25"/>
      <c r="E891" s="26" t="s">
        <v>961</v>
      </c>
      <c r="F891" s="26"/>
      <c r="G891" s="26"/>
      <c r="H891" s="26"/>
      <c r="I891" s="26"/>
      <c r="J891" s="27" t="s">
        <v>2057</v>
      </c>
      <c r="K891" s="27"/>
      <c r="L891" s="27"/>
      <c r="M891" s="27"/>
      <c r="N891" s="28">
        <f>400</f>
        <v>400</v>
      </c>
      <c r="O891" s="28"/>
      <c r="P891" s="28"/>
      <c r="Q891" s="27" t="s">
        <v>2032</v>
      </c>
      <c r="R891" s="27"/>
      <c r="S891" s="29" t="s">
        <v>2032</v>
      </c>
      <c r="T891" s="29"/>
      <c r="U891" s="29"/>
      <c r="V891" s="29"/>
      <c r="W891" s="30" t="s">
        <v>2032</v>
      </c>
      <c r="X891" s="29" t="s">
        <v>2032</v>
      </c>
      <c r="Y891" s="29"/>
      <c r="Z891" s="29"/>
      <c r="AA891" s="29"/>
      <c r="AB891" s="27" t="s">
        <v>2057</v>
      </c>
      <c r="AC891" s="27"/>
      <c r="AD891" s="27"/>
      <c r="AE891" s="31">
        <f>400</f>
        <v>400</v>
      </c>
      <c r="AF891" s="31"/>
      <c r="AG891" s="31"/>
    </row>
    <row r="892" spans="1:33" s="1" customFormat="1" ht="46.5" customHeight="1">
      <c r="A892" s="24" t="s">
        <v>962</v>
      </c>
      <c r="B892" s="25" t="s">
        <v>963</v>
      </c>
      <c r="C892" s="25"/>
      <c r="D892" s="25"/>
      <c r="E892" s="26" t="s">
        <v>964</v>
      </c>
      <c r="F892" s="26"/>
      <c r="G892" s="26"/>
      <c r="H892" s="26"/>
      <c r="I892" s="26"/>
      <c r="J892" s="27" t="s">
        <v>2056</v>
      </c>
      <c r="K892" s="27"/>
      <c r="L892" s="27"/>
      <c r="M892" s="27"/>
      <c r="N892" s="28">
        <f>325</f>
        <v>325</v>
      </c>
      <c r="O892" s="28"/>
      <c r="P892" s="28"/>
      <c r="Q892" s="27" t="s">
        <v>2032</v>
      </c>
      <c r="R892" s="27"/>
      <c r="S892" s="29" t="s">
        <v>2032</v>
      </c>
      <c r="T892" s="29"/>
      <c r="U892" s="29"/>
      <c r="V892" s="29"/>
      <c r="W892" s="30" t="s">
        <v>2032</v>
      </c>
      <c r="X892" s="29" t="s">
        <v>2032</v>
      </c>
      <c r="Y892" s="29"/>
      <c r="Z892" s="29"/>
      <c r="AA892" s="29"/>
      <c r="AB892" s="27" t="s">
        <v>2056</v>
      </c>
      <c r="AC892" s="27"/>
      <c r="AD892" s="27"/>
      <c r="AE892" s="31">
        <f>325</f>
        <v>325</v>
      </c>
      <c r="AF892" s="31"/>
      <c r="AG892" s="31"/>
    </row>
    <row r="893" spans="1:33" s="1" customFormat="1" ht="18.75" customHeight="1">
      <c r="A893" s="24" t="s">
        <v>965</v>
      </c>
      <c r="B893" s="25" t="s">
        <v>609</v>
      </c>
      <c r="C893" s="25"/>
      <c r="D893" s="25"/>
      <c r="E893" s="26" t="s">
        <v>966</v>
      </c>
      <c r="F893" s="26"/>
      <c r="G893" s="26"/>
      <c r="H893" s="26"/>
      <c r="I893" s="26"/>
      <c r="J893" s="27" t="s">
        <v>2060</v>
      </c>
      <c r="K893" s="27"/>
      <c r="L893" s="27"/>
      <c r="M893" s="27"/>
      <c r="N893" s="28">
        <f>3084.94</f>
        <v>3084.94</v>
      </c>
      <c r="O893" s="28"/>
      <c r="P893" s="28"/>
      <c r="Q893" s="27" t="s">
        <v>2032</v>
      </c>
      <c r="R893" s="27"/>
      <c r="S893" s="29" t="s">
        <v>2032</v>
      </c>
      <c r="T893" s="29"/>
      <c r="U893" s="29"/>
      <c r="V893" s="29"/>
      <c r="W893" s="30" t="s">
        <v>2032</v>
      </c>
      <c r="X893" s="29" t="s">
        <v>2032</v>
      </c>
      <c r="Y893" s="29"/>
      <c r="Z893" s="29"/>
      <c r="AA893" s="29"/>
      <c r="AB893" s="27" t="s">
        <v>2060</v>
      </c>
      <c r="AC893" s="27"/>
      <c r="AD893" s="27"/>
      <c r="AE893" s="31">
        <f>3084.94</f>
        <v>3084.94</v>
      </c>
      <c r="AF893" s="31"/>
      <c r="AG893" s="31"/>
    </row>
    <row r="894" spans="1:33" s="1" customFormat="1" ht="18.75" customHeight="1">
      <c r="A894" s="24" t="s">
        <v>967</v>
      </c>
      <c r="B894" s="25" t="s">
        <v>968</v>
      </c>
      <c r="C894" s="25"/>
      <c r="D894" s="25"/>
      <c r="E894" s="26" t="s">
        <v>969</v>
      </c>
      <c r="F894" s="26"/>
      <c r="G894" s="26"/>
      <c r="H894" s="26"/>
      <c r="I894" s="26"/>
      <c r="J894" s="27" t="s">
        <v>2056</v>
      </c>
      <c r="K894" s="27"/>
      <c r="L894" s="27"/>
      <c r="M894" s="27"/>
      <c r="N894" s="28">
        <f>200</f>
        <v>200</v>
      </c>
      <c r="O894" s="28"/>
      <c r="P894" s="28"/>
      <c r="Q894" s="27" t="s">
        <v>2032</v>
      </c>
      <c r="R894" s="27"/>
      <c r="S894" s="29" t="s">
        <v>2032</v>
      </c>
      <c r="T894" s="29"/>
      <c r="U894" s="29"/>
      <c r="V894" s="29"/>
      <c r="W894" s="30" t="s">
        <v>2032</v>
      </c>
      <c r="X894" s="29" t="s">
        <v>2032</v>
      </c>
      <c r="Y894" s="29"/>
      <c r="Z894" s="29"/>
      <c r="AA894" s="29"/>
      <c r="AB894" s="27" t="s">
        <v>2056</v>
      </c>
      <c r="AC894" s="27"/>
      <c r="AD894" s="27"/>
      <c r="AE894" s="31">
        <f>200</f>
        <v>200</v>
      </c>
      <c r="AF894" s="31"/>
      <c r="AG894" s="31"/>
    </row>
    <row r="895" spans="1:33" s="1" customFormat="1" ht="18.75" customHeight="1">
      <c r="A895" s="24" t="s">
        <v>970</v>
      </c>
      <c r="B895" s="25" t="s">
        <v>971</v>
      </c>
      <c r="C895" s="25"/>
      <c r="D895" s="25"/>
      <c r="E895" s="26" t="s">
        <v>972</v>
      </c>
      <c r="F895" s="26"/>
      <c r="G895" s="26"/>
      <c r="H895" s="26"/>
      <c r="I895" s="26"/>
      <c r="J895" s="27" t="s">
        <v>2058</v>
      </c>
      <c r="K895" s="27"/>
      <c r="L895" s="27"/>
      <c r="M895" s="27"/>
      <c r="N895" s="28">
        <f>1202.6</f>
        <v>1202.6</v>
      </c>
      <c r="O895" s="28"/>
      <c r="P895" s="28"/>
      <c r="Q895" s="27" t="s">
        <v>2032</v>
      </c>
      <c r="R895" s="27"/>
      <c r="S895" s="29" t="s">
        <v>2032</v>
      </c>
      <c r="T895" s="29"/>
      <c r="U895" s="29"/>
      <c r="V895" s="29"/>
      <c r="W895" s="30" t="s">
        <v>2032</v>
      </c>
      <c r="X895" s="29" t="s">
        <v>2032</v>
      </c>
      <c r="Y895" s="29"/>
      <c r="Z895" s="29"/>
      <c r="AA895" s="29"/>
      <c r="AB895" s="27" t="s">
        <v>2058</v>
      </c>
      <c r="AC895" s="27"/>
      <c r="AD895" s="27"/>
      <c r="AE895" s="31">
        <f>1202.6</f>
        <v>1202.6</v>
      </c>
      <c r="AF895" s="31"/>
      <c r="AG895" s="31"/>
    </row>
    <row r="896" spans="1:33" s="1" customFormat="1" ht="18.75" customHeight="1">
      <c r="A896" s="24" t="s">
        <v>973</v>
      </c>
      <c r="B896" s="25" t="s">
        <v>974</v>
      </c>
      <c r="C896" s="25"/>
      <c r="D896" s="25"/>
      <c r="E896" s="26" t="s">
        <v>972</v>
      </c>
      <c r="F896" s="26"/>
      <c r="G896" s="26"/>
      <c r="H896" s="26"/>
      <c r="I896" s="26"/>
      <c r="J896" s="27" t="s">
        <v>2058</v>
      </c>
      <c r="K896" s="27"/>
      <c r="L896" s="27"/>
      <c r="M896" s="27"/>
      <c r="N896" s="28">
        <f>553.14</f>
        <v>553.14</v>
      </c>
      <c r="O896" s="28"/>
      <c r="P896" s="28"/>
      <c r="Q896" s="27" t="s">
        <v>2032</v>
      </c>
      <c r="R896" s="27"/>
      <c r="S896" s="29" t="s">
        <v>2032</v>
      </c>
      <c r="T896" s="29"/>
      <c r="U896" s="29"/>
      <c r="V896" s="29"/>
      <c r="W896" s="30" t="s">
        <v>2032</v>
      </c>
      <c r="X896" s="29" t="s">
        <v>2032</v>
      </c>
      <c r="Y896" s="29"/>
      <c r="Z896" s="29"/>
      <c r="AA896" s="29"/>
      <c r="AB896" s="27" t="s">
        <v>2058</v>
      </c>
      <c r="AC896" s="27"/>
      <c r="AD896" s="27"/>
      <c r="AE896" s="31">
        <f>553.14</f>
        <v>553.14</v>
      </c>
      <c r="AF896" s="31"/>
      <c r="AG896" s="31"/>
    </row>
    <row r="897" spans="1:33" s="1" customFormat="1" ht="46.5" customHeight="1">
      <c r="A897" s="24" t="s">
        <v>975</v>
      </c>
      <c r="B897" s="25" t="s">
        <v>976</v>
      </c>
      <c r="C897" s="25"/>
      <c r="D897" s="25"/>
      <c r="E897" s="26" t="s">
        <v>977</v>
      </c>
      <c r="F897" s="26"/>
      <c r="G897" s="26"/>
      <c r="H897" s="26"/>
      <c r="I897" s="26"/>
      <c r="J897" s="27" t="s">
        <v>2057</v>
      </c>
      <c r="K897" s="27"/>
      <c r="L897" s="27"/>
      <c r="M897" s="27"/>
      <c r="N897" s="28">
        <f>1203.2</f>
        <v>1203.2</v>
      </c>
      <c r="O897" s="28"/>
      <c r="P897" s="28"/>
      <c r="Q897" s="27" t="s">
        <v>2032</v>
      </c>
      <c r="R897" s="27"/>
      <c r="S897" s="29" t="s">
        <v>2032</v>
      </c>
      <c r="T897" s="29"/>
      <c r="U897" s="29"/>
      <c r="V897" s="29"/>
      <c r="W897" s="30" t="s">
        <v>2032</v>
      </c>
      <c r="X897" s="29" t="s">
        <v>2032</v>
      </c>
      <c r="Y897" s="29"/>
      <c r="Z897" s="29"/>
      <c r="AA897" s="29"/>
      <c r="AB897" s="27" t="s">
        <v>2057</v>
      </c>
      <c r="AC897" s="27"/>
      <c r="AD897" s="27"/>
      <c r="AE897" s="31">
        <f>1203.2</f>
        <v>1203.2</v>
      </c>
      <c r="AF897" s="31"/>
      <c r="AG897" s="31"/>
    </row>
    <row r="898" spans="1:33" s="1" customFormat="1" ht="18.75" customHeight="1">
      <c r="A898" s="24" t="s">
        <v>978</v>
      </c>
      <c r="B898" s="25" t="s">
        <v>979</v>
      </c>
      <c r="C898" s="25"/>
      <c r="D898" s="25"/>
      <c r="E898" s="26" t="s">
        <v>980</v>
      </c>
      <c r="F898" s="26"/>
      <c r="G898" s="26"/>
      <c r="H898" s="26"/>
      <c r="I898" s="26"/>
      <c r="J898" s="27" t="s">
        <v>2056</v>
      </c>
      <c r="K898" s="27"/>
      <c r="L898" s="27"/>
      <c r="M898" s="27"/>
      <c r="N898" s="28">
        <f>500</f>
        <v>500</v>
      </c>
      <c r="O898" s="28"/>
      <c r="P898" s="28"/>
      <c r="Q898" s="27" t="s">
        <v>2032</v>
      </c>
      <c r="R898" s="27"/>
      <c r="S898" s="29" t="s">
        <v>2032</v>
      </c>
      <c r="T898" s="29"/>
      <c r="U898" s="29"/>
      <c r="V898" s="29"/>
      <c r="W898" s="30" t="s">
        <v>2032</v>
      </c>
      <c r="X898" s="29" t="s">
        <v>2032</v>
      </c>
      <c r="Y898" s="29"/>
      <c r="Z898" s="29"/>
      <c r="AA898" s="29"/>
      <c r="AB898" s="27" t="s">
        <v>2056</v>
      </c>
      <c r="AC898" s="27"/>
      <c r="AD898" s="27"/>
      <c r="AE898" s="31">
        <f>500</f>
        <v>500</v>
      </c>
      <c r="AF898" s="31"/>
      <c r="AG898" s="31"/>
    </row>
    <row r="899" spans="1:33" s="1" customFormat="1" ht="18.75" customHeight="1">
      <c r="A899" s="24" t="s">
        <v>981</v>
      </c>
      <c r="B899" s="25" t="s">
        <v>982</v>
      </c>
      <c r="C899" s="25"/>
      <c r="D899" s="25"/>
      <c r="E899" s="26" t="s">
        <v>983</v>
      </c>
      <c r="F899" s="26"/>
      <c r="G899" s="26"/>
      <c r="H899" s="26"/>
      <c r="I899" s="26"/>
      <c r="J899" s="27" t="s">
        <v>2059</v>
      </c>
      <c r="K899" s="27"/>
      <c r="L899" s="27"/>
      <c r="M899" s="27"/>
      <c r="N899" s="28">
        <f>1388.2</f>
        <v>1388.2</v>
      </c>
      <c r="O899" s="28"/>
      <c r="P899" s="28"/>
      <c r="Q899" s="27" t="s">
        <v>2032</v>
      </c>
      <c r="R899" s="27"/>
      <c r="S899" s="29" t="s">
        <v>2032</v>
      </c>
      <c r="T899" s="29"/>
      <c r="U899" s="29"/>
      <c r="V899" s="29"/>
      <c r="W899" s="30" t="s">
        <v>2032</v>
      </c>
      <c r="X899" s="29" t="s">
        <v>2032</v>
      </c>
      <c r="Y899" s="29"/>
      <c r="Z899" s="29"/>
      <c r="AA899" s="29"/>
      <c r="AB899" s="27" t="s">
        <v>2059</v>
      </c>
      <c r="AC899" s="27"/>
      <c r="AD899" s="27"/>
      <c r="AE899" s="31">
        <f>1388.2</f>
        <v>1388.2</v>
      </c>
      <c r="AF899" s="31"/>
      <c r="AG899" s="31"/>
    </row>
    <row r="900" spans="1:33" s="1" customFormat="1" ht="18.75" customHeight="1">
      <c r="A900" s="24" t="s">
        <v>984</v>
      </c>
      <c r="B900" s="25" t="s">
        <v>985</v>
      </c>
      <c r="C900" s="25"/>
      <c r="D900" s="25"/>
      <c r="E900" s="26" t="s">
        <v>986</v>
      </c>
      <c r="F900" s="26"/>
      <c r="G900" s="26"/>
      <c r="H900" s="26"/>
      <c r="I900" s="26"/>
      <c r="J900" s="27" t="s">
        <v>2056</v>
      </c>
      <c r="K900" s="27"/>
      <c r="L900" s="27"/>
      <c r="M900" s="27"/>
      <c r="N900" s="28">
        <f>416.46</f>
        <v>416.46</v>
      </c>
      <c r="O900" s="28"/>
      <c r="P900" s="28"/>
      <c r="Q900" s="27" t="s">
        <v>2032</v>
      </c>
      <c r="R900" s="27"/>
      <c r="S900" s="29" t="s">
        <v>2032</v>
      </c>
      <c r="T900" s="29"/>
      <c r="U900" s="29"/>
      <c r="V900" s="29"/>
      <c r="W900" s="30" t="s">
        <v>2032</v>
      </c>
      <c r="X900" s="29" t="s">
        <v>2032</v>
      </c>
      <c r="Y900" s="29"/>
      <c r="Z900" s="29"/>
      <c r="AA900" s="29"/>
      <c r="AB900" s="27" t="s">
        <v>2056</v>
      </c>
      <c r="AC900" s="27"/>
      <c r="AD900" s="27"/>
      <c r="AE900" s="31">
        <f>416.46</f>
        <v>416.46</v>
      </c>
      <c r="AF900" s="31"/>
      <c r="AG900" s="31"/>
    </row>
    <row r="901" spans="1:33" s="1" customFormat="1" ht="33" customHeight="1">
      <c r="A901" s="24" t="s">
        <v>987</v>
      </c>
      <c r="B901" s="25" t="s">
        <v>988</v>
      </c>
      <c r="C901" s="25"/>
      <c r="D901" s="25"/>
      <c r="E901" s="26" t="s">
        <v>989</v>
      </c>
      <c r="F901" s="26"/>
      <c r="G901" s="26"/>
      <c r="H901" s="26"/>
      <c r="I901" s="26"/>
      <c r="J901" s="27" t="s">
        <v>2059</v>
      </c>
      <c r="K901" s="27"/>
      <c r="L901" s="27"/>
      <c r="M901" s="27"/>
      <c r="N901" s="28">
        <f>2400</f>
        <v>2400</v>
      </c>
      <c r="O901" s="28"/>
      <c r="P901" s="28"/>
      <c r="Q901" s="27" t="s">
        <v>2032</v>
      </c>
      <c r="R901" s="27"/>
      <c r="S901" s="29" t="s">
        <v>2032</v>
      </c>
      <c r="T901" s="29"/>
      <c r="U901" s="29"/>
      <c r="V901" s="29"/>
      <c r="W901" s="30" t="s">
        <v>2032</v>
      </c>
      <c r="X901" s="29" t="s">
        <v>2032</v>
      </c>
      <c r="Y901" s="29"/>
      <c r="Z901" s="29"/>
      <c r="AA901" s="29"/>
      <c r="AB901" s="27" t="s">
        <v>2059</v>
      </c>
      <c r="AC901" s="27"/>
      <c r="AD901" s="27"/>
      <c r="AE901" s="31">
        <f>2400</f>
        <v>2400</v>
      </c>
      <c r="AF901" s="31"/>
      <c r="AG901" s="31"/>
    </row>
    <row r="902" spans="1:33" s="1" customFormat="1" ht="18.75" customHeight="1">
      <c r="A902" s="24" t="s">
        <v>990</v>
      </c>
      <c r="B902" s="25" t="s">
        <v>991</v>
      </c>
      <c r="C902" s="25"/>
      <c r="D902" s="25"/>
      <c r="E902" s="26" t="s">
        <v>992</v>
      </c>
      <c r="F902" s="26"/>
      <c r="G902" s="26"/>
      <c r="H902" s="26"/>
      <c r="I902" s="26"/>
      <c r="J902" s="27" t="s">
        <v>2056</v>
      </c>
      <c r="K902" s="27"/>
      <c r="L902" s="27"/>
      <c r="M902" s="27"/>
      <c r="N902" s="28">
        <f>1427.81</f>
        <v>1427.81</v>
      </c>
      <c r="O902" s="28"/>
      <c r="P902" s="28"/>
      <c r="Q902" s="27" t="s">
        <v>2032</v>
      </c>
      <c r="R902" s="27"/>
      <c r="S902" s="29" t="s">
        <v>2032</v>
      </c>
      <c r="T902" s="29"/>
      <c r="U902" s="29"/>
      <c r="V902" s="29"/>
      <c r="W902" s="30" t="s">
        <v>2032</v>
      </c>
      <c r="X902" s="29" t="s">
        <v>2032</v>
      </c>
      <c r="Y902" s="29"/>
      <c r="Z902" s="29"/>
      <c r="AA902" s="29"/>
      <c r="AB902" s="27" t="s">
        <v>2056</v>
      </c>
      <c r="AC902" s="27"/>
      <c r="AD902" s="27"/>
      <c r="AE902" s="31">
        <f>1427.81</f>
        <v>1427.81</v>
      </c>
      <c r="AF902" s="31"/>
      <c r="AG902" s="31"/>
    </row>
    <row r="903" spans="1:33" s="1" customFormat="1" ht="18.75" customHeight="1">
      <c r="A903" s="24" t="s">
        <v>993</v>
      </c>
      <c r="B903" s="25" t="s">
        <v>994</v>
      </c>
      <c r="C903" s="25"/>
      <c r="D903" s="25"/>
      <c r="E903" s="26" t="s">
        <v>992</v>
      </c>
      <c r="F903" s="26"/>
      <c r="G903" s="26"/>
      <c r="H903" s="26"/>
      <c r="I903" s="26"/>
      <c r="J903" s="27" t="s">
        <v>2056</v>
      </c>
      <c r="K903" s="27"/>
      <c r="L903" s="27"/>
      <c r="M903" s="27"/>
      <c r="N903" s="28">
        <f>1427.8</f>
        <v>1427.8</v>
      </c>
      <c r="O903" s="28"/>
      <c r="P903" s="28"/>
      <c r="Q903" s="27" t="s">
        <v>2032</v>
      </c>
      <c r="R903" s="27"/>
      <c r="S903" s="29" t="s">
        <v>2032</v>
      </c>
      <c r="T903" s="29"/>
      <c r="U903" s="29"/>
      <c r="V903" s="29"/>
      <c r="W903" s="30" t="s">
        <v>2032</v>
      </c>
      <c r="X903" s="29" t="s">
        <v>2032</v>
      </c>
      <c r="Y903" s="29"/>
      <c r="Z903" s="29"/>
      <c r="AA903" s="29"/>
      <c r="AB903" s="27" t="s">
        <v>2056</v>
      </c>
      <c r="AC903" s="27"/>
      <c r="AD903" s="27"/>
      <c r="AE903" s="31">
        <f>1427.8</f>
        <v>1427.8</v>
      </c>
      <c r="AF903" s="31"/>
      <c r="AG903" s="31"/>
    </row>
    <row r="904" spans="1:33" s="1" customFormat="1" ht="33" customHeight="1">
      <c r="A904" s="24" t="s">
        <v>995</v>
      </c>
      <c r="B904" s="25" t="s">
        <v>996</v>
      </c>
      <c r="C904" s="25"/>
      <c r="D904" s="25"/>
      <c r="E904" s="26" t="s">
        <v>997</v>
      </c>
      <c r="F904" s="26"/>
      <c r="G904" s="26"/>
      <c r="H904" s="26"/>
      <c r="I904" s="26"/>
      <c r="J904" s="27" t="s">
        <v>2056</v>
      </c>
      <c r="K904" s="27"/>
      <c r="L904" s="27"/>
      <c r="M904" s="27"/>
      <c r="N904" s="28">
        <f>200</f>
        <v>200</v>
      </c>
      <c r="O904" s="28"/>
      <c r="P904" s="28"/>
      <c r="Q904" s="27" t="s">
        <v>2032</v>
      </c>
      <c r="R904" s="27"/>
      <c r="S904" s="29" t="s">
        <v>2032</v>
      </c>
      <c r="T904" s="29"/>
      <c r="U904" s="29"/>
      <c r="V904" s="29"/>
      <c r="W904" s="30" t="s">
        <v>2032</v>
      </c>
      <c r="X904" s="29" t="s">
        <v>2032</v>
      </c>
      <c r="Y904" s="29"/>
      <c r="Z904" s="29"/>
      <c r="AA904" s="29"/>
      <c r="AB904" s="27" t="s">
        <v>2056</v>
      </c>
      <c r="AC904" s="27"/>
      <c r="AD904" s="27"/>
      <c r="AE904" s="31">
        <f>200</f>
        <v>200</v>
      </c>
      <c r="AF904" s="31"/>
      <c r="AG904" s="31"/>
    </row>
    <row r="905" spans="1:33" s="1" customFormat="1" ht="18.75" customHeight="1">
      <c r="A905" s="24" t="s">
        <v>998</v>
      </c>
      <c r="B905" s="25" t="s">
        <v>999</v>
      </c>
      <c r="C905" s="25"/>
      <c r="D905" s="25"/>
      <c r="E905" s="26" t="s">
        <v>1000</v>
      </c>
      <c r="F905" s="26"/>
      <c r="G905" s="26"/>
      <c r="H905" s="26"/>
      <c r="I905" s="26"/>
      <c r="J905" s="27" t="s">
        <v>2059</v>
      </c>
      <c r="K905" s="27"/>
      <c r="L905" s="27"/>
      <c r="M905" s="27"/>
      <c r="N905" s="28">
        <f>480</f>
        <v>480</v>
      </c>
      <c r="O905" s="28"/>
      <c r="P905" s="28"/>
      <c r="Q905" s="27" t="s">
        <v>2032</v>
      </c>
      <c r="R905" s="27"/>
      <c r="S905" s="29" t="s">
        <v>2032</v>
      </c>
      <c r="T905" s="29"/>
      <c r="U905" s="29"/>
      <c r="V905" s="29"/>
      <c r="W905" s="30" t="s">
        <v>2032</v>
      </c>
      <c r="X905" s="29" t="s">
        <v>2032</v>
      </c>
      <c r="Y905" s="29"/>
      <c r="Z905" s="29"/>
      <c r="AA905" s="29"/>
      <c r="AB905" s="27" t="s">
        <v>2059</v>
      </c>
      <c r="AC905" s="27"/>
      <c r="AD905" s="27"/>
      <c r="AE905" s="31">
        <f>480</f>
        <v>480</v>
      </c>
      <c r="AF905" s="31"/>
      <c r="AG905" s="31"/>
    </row>
    <row r="906" spans="1:33" s="1" customFormat="1" ht="18.75" customHeight="1">
      <c r="A906" s="24" t="s">
        <v>1001</v>
      </c>
      <c r="B906" s="25" t="s">
        <v>1002</v>
      </c>
      <c r="C906" s="25"/>
      <c r="D906" s="25"/>
      <c r="E906" s="26" t="s">
        <v>1003</v>
      </c>
      <c r="F906" s="26"/>
      <c r="G906" s="26"/>
      <c r="H906" s="26"/>
      <c r="I906" s="26"/>
      <c r="J906" s="27" t="s">
        <v>2057</v>
      </c>
      <c r="K906" s="27"/>
      <c r="L906" s="27"/>
      <c r="M906" s="27"/>
      <c r="N906" s="28">
        <f>146.12</f>
        <v>146.12</v>
      </c>
      <c r="O906" s="28"/>
      <c r="P906" s="28"/>
      <c r="Q906" s="27" t="s">
        <v>2032</v>
      </c>
      <c r="R906" s="27"/>
      <c r="S906" s="29" t="s">
        <v>2032</v>
      </c>
      <c r="T906" s="29"/>
      <c r="U906" s="29"/>
      <c r="V906" s="29"/>
      <c r="W906" s="30" t="s">
        <v>2032</v>
      </c>
      <c r="X906" s="29" t="s">
        <v>2032</v>
      </c>
      <c r="Y906" s="29"/>
      <c r="Z906" s="29"/>
      <c r="AA906" s="29"/>
      <c r="AB906" s="27" t="s">
        <v>2057</v>
      </c>
      <c r="AC906" s="27"/>
      <c r="AD906" s="27"/>
      <c r="AE906" s="31">
        <f>146.12</f>
        <v>146.12</v>
      </c>
      <c r="AF906" s="31"/>
      <c r="AG906" s="31"/>
    </row>
    <row r="907" spans="1:33" s="1" customFormat="1" ht="33" customHeight="1">
      <c r="A907" s="24" t="s">
        <v>1004</v>
      </c>
      <c r="B907" s="25" t="s">
        <v>1005</v>
      </c>
      <c r="C907" s="25"/>
      <c r="D907" s="25"/>
      <c r="E907" s="26" t="s">
        <v>1006</v>
      </c>
      <c r="F907" s="26"/>
      <c r="G907" s="26"/>
      <c r="H907" s="26"/>
      <c r="I907" s="26"/>
      <c r="J907" s="27" t="s">
        <v>2058</v>
      </c>
      <c r="K907" s="27"/>
      <c r="L907" s="27"/>
      <c r="M907" s="27"/>
      <c r="N907" s="28">
        <f>460.8</f>
        <v>460.8</v>
      </c>
      <c r="O907" s="28"/>
      <c r="P907" s="28"/>
      <c r="Q907" s="27" t="s">
        <v>2032</v>
      </c>
      <c r="R907" s="27"/>
      <c r="S907" s="29" t="s">
        <v>2032</v>
      </c>
      <c r="T907" s="29"/>
      <c r="U907" s="29"/>
      <c r="V907" s="29"/>
      <c r="W907" s="30" t="s">
        <v>2032</v>
      </c>
      <c r="X907" s="29" t="s">
        <v>2032</v>
      </c>
      <c r="Y907" s="29"/>
      <c r="Z907" s="29"/>
      <c r="AA907" s="29"/>
      <c r="AB907" s="27" t="s">
        <v>2058</v>
      </c>
      <c r="AC907" s="27"/>
      <c r="AD907" s="27"/>
      <c r="AE907" s="31">
        <f>460.8</f>
        <v>460.8</v>
      </c>
      <c r="AF907" s="31"/>
      <c r="AG907" s="31"/>
    </row>
    <row r="908" spans="1:33" s="1" customFormat="1" ht="18.75" customHeight="1">
      <c r="A908" s="24" t="s">
        <v>1007</v>
      </c>
      <c r="B908" s="25" t="s">
        <v>1008</v>
      </c>
      <c r="C908" s="25"/>
      <c r="D908" s="25"/>
      <c r="E908" s="26" t="s">
        <v>1009</v>
      </c>
      <c r="F908" s="26"/>
      <c r="G908" s="26"/>
      <c r="H908" s="26"/>
      <c r="I908" s="26"/>
      <c r="J908" s="27" t="s">
        <v>2057</v>
      </c>
      <c r="K908" s="27"/>
      <c r="L908" s="27"/>
      <c r="M908" s="27"/>
      <c r="N908" s="28">
        <f>1000</f>
        <v>1000</v>
      </c>
      <c r="O908" s="28"/>
      <c r="P908" s="28"/>
      <c r="Q908" s="27" t="s">
        <v>2032</v>
      </c>
      <c r="R908" s="27"/>
      <c r="S908" s="29" t="s">
        <v>2032</v>
      </c>
      <c r="T908" s="29"/>
      <c r="U908" s="29"/>
      <c r="V908" s="29"/>
      <c r="W908" s="30" t="s">
        <v>2032</v>
      </c>
      <c r="X908" s="29" t="s">
        <v>2032</v>
      </c>
      <c r="Y908" s="29"/>
      <c r="Z908" s="29"/>
      <c r="AA908" s="29"/>
      <c r="AB908" s="27" t="s">
        <v>2057</v>
      </c>
      <c r="AC908" s="27"/>
      <c r="AD908" s="27"/>
      <c r="AE908" s="31">
        <f>1000</f>
        <v>1000</v>
      </c>
      <c r="AF908" s="31"/>
      <c r="AG908" s="31"/>
    </row>
    <row r="909" spans="1:33" s="1" customFormat="1" ht="18.75" customHeight="1">
      <c r="A909" s="24" t="s">
        <v>1010</v>
      </c>
      <c r="B909" s="25" t="s">
        <v>1011</v>
      </c>
      <c r="C909" s="25"/>
      <c r="D909" s="25"/>
      <c r="E909" s="26" t="s">
        <v>1012</v>
      </c>
      <c r="F909" s="26"/>
      <c r="G909" s="26"/>
      <c r="H909" s="26"/>
      <c r="I909" s="26"/>
      <c r="J909" s="27" t="s">
        <v>2056</v>
      </c>
      <c r="K909" s="27"/>
      <c r="L909" s="27"/>
      <c r="M909" s="27"/>
      <c r="N909" s="28">
        <f>400</f>
        <v>400</v>
      </c>
      <c r="O909" s="28"/>
      <c r="P909" s="28"/>
      <c r="Q909" s="27" t="s">
        <v>2032</v>
      </c>
      <c r="R909" s="27"/>
      <c r="S909" s="29" t="s">
        <v>2032</v>
      </c>
      <c r="T909" s="29"/>
      <c r="U909" s="29"/>
      <c r="V909" s="29"/>
      <c r="W909" s="30" t="s">
        <v>2032</v>
      </c>
      <c r="X909" s="29" t="s">
        <v>2032</v>
      </c>
      <c r="Y909" s="29"/>
      <c r="Z909" s="29"/>
      <c r="AA909" s="29"/>
      <c r="AB909" s="27" t="s">
        <v>2056</v>
      </c>
      <c r="AC909" s="27"/>
      <c r="AD909" s="27"/>
      <c r="AE909" s="31">
        <f>400</f>
        <v>400</v>
      </c>
      <c r="AF909" s="31"/>
      <c r="AG909" s="31"/>
    </row>
    <row r="910" spans="1:33" s="1" customFormat="1" ht="18.75" customHeight="1">
      <c r="A910" s="24" t="s">
        <v>1013</v>
      </c>
      <c r="B910" s="25" t="s">
        <v>3143</v>
      </c>
      <c r="C910" s="25"/>
      <c r="D910" s="25"/>
      <c r="E910" s="26" t="s">
        <v>1014</v>
      </c>
      <c r="F910" s="26"/>
      <c r="G910" s="26"/>
      <c r="H910" s="26"/>
      <c r="I910" s="26"/>
      <c r="J910" s="27" t="s">
        <v>2056</v>
      </c>
      <c r="K910" s="27"/>
      <c r="L910" s="27"/>
      <c r="M910" s="27"/>
      <c r="N910" s="28">
        <f>73.06</f>
        <v>73.06</v>
      </c>
      <c r="O910" s="28"/>
      <c r="P910" s="28"/>
      <c r="Q910" s="27" t="s">
        <v>2032</v>
      </c>
      <c r="R910" s="27"/>
      <c r="S910" s="29" t="s">
        <v>2032</v>
      </c>
      <c r="T910" s="29"/>
      <c r="U910" s="29"/>
      <c r="V910" s="29"/>
      <c r="W910" s="30" t="s">
        <v>2032</v>
      </c>
      <c r="X910" s="29" t="s">
        <v>2032</v>
      </c>
      <c r="Y910" s="29"/>
      <c r="Z910" s="29"/>
      <c r="AA910" s="29"/>
      <c r="AB910" s="27" t="s">
        <v>2056</v>
      </c>
      <c r="AC910" s="27"/>
      <c r="AD910" s="27"/>
      <c r="AE910" s="31">
        <f>73.06</f>
        <v>73.06</v>
      </c>
      <c r="AF910" s="31"/>
      <c r="AG910" s="31"/>
    </row>
    <row r="911" spans="1:33" s="1" customFormat="1" ht="18.75" customHeight="1">
      <c r="A911" s="24" t="s">
        <v>1015</v>
      </c>
      <c r="B911" s="25" t="s">
        <v>1016</v>
      </c>
      <c r="C911" s="25"/>
      <c r="D911" s="25"/>
      <c r="E911" s="26" t="s">
        <v>1017</v>
      </c>
      <c r="F911" s="26"/>
      <c r="G911" s="26"/>
      <c r="H911" s="26"/>
      <c r="I911" s="26"/>
      <c r="J911" s="27" t="s">
        <v>2090</v>
      </c>
      <c r="K911" s="27"/>
      <c r="L911" s="27"/>
      <c r="M911" s="27"/>
      <c r="N911" s="28">
        <f>550</f>
        <v>550</v>
      </c>
      <c r="O911" s="28"/>
      <c r="P911" s="28"/>
      <c r="Q911" s="27" t="s">
        <v>2032</v>
      </c>
      <c r="R911" s="27"/>
      <c r="S911" s="29" t="s">
        <v>2032</v>
      </c>
      <c r="T911" s="29"/>
      <c r="U911" s="29"/>
      <c r="V911" s="29"/>
      <c r="W911" s="30" t="s">
        <v>2032</v>
      </c>
      <c r="X911" s="29" t="s">
        <v>2032</v>
      </c>
      <c r="Y911" s="29"/>
      <c r="Z911" s="29"/>
      <c r="AA911" s="29"/>
      <c r="AB911" s="27" t="s">
        <v>2090</v>
      </c>
      <c r="AC911" s="27"/>
      <c r="AD911" s="27"/>
      <c r="AE911" s="31">
        <f>550</f>
        <v>550</v>
      </c>
      <c r="AF911" s="31"/>
      <c r="AG911" s="31"/>
    </row>
    <row r="912" spans="1:33" s="1" customFormat="1" ht="18.75" customHeight="1">
      <c r="A912" s="24" t="s">
        <v>1018</v>
      </c>
      <c r="B912" s="25" t="s">
        <v>1019</v>
      </c>
      <c r="C912" s="25"/>
      <c r="D912" s="25"/>
      <c r="E912" s="26" t="s">
        <v>1020</v>
      </c>
      <c r="F912" s="26"/>
      <c r="G912" s="26"/>
      <c r="H912" s="26"/>
      <c r="I912" s="26"/>
      <c r="J912" s="27" t="s">
        <v>2064</v>
      </c>
      <c r="K912" s="27"/>
      <c r="L912" s="27"/>
      <c r="M912" s="27"/>
      <c r="N912" s="28">
        <f>45</f>
        <v>45</v>
      </c>
      <c r="O912" s="28"/>
      <c r="P912" s="28"/>
      <c r="Q912" s="27" t="s">
        <v>2032</v>
      </c>
      <c r="R912" s="27"/>
      <c r="S912" s="29" t="s">
        <v>2032</v>
      </c>
      <c r="T912" s="29"/>
      <c r="U912" s="29"/>
      <c r="V912" s="29"/>
      <c r="W912" s="30" t="s">
        <v>2032</v>
      </c>
      <c r="X912" s="29" t="s">
        <v>2032</v>
      </c>
      <c r="Y912" s="29"/>
      <c r="Z912" s="29"/>
      <c r="AA912" s="29"/>
      <c r="AB912" s="27" t="s">
        <v>2064</v>
      </c>
      <c r="AC912" s="27"/>
      <c r="AD912" s="27"/>
      <c r="AE912" s="31">
        <f>45</f>
        <v>45</v>
      </c>
      <c r="AF912" s="31"/>
      <c r="AG912" s="31"/>
    </row>
    <row r="913" spans="1:33" s="1" customFormat="1" ht="18.75" customHeight="1">
      <c r="A913" s="24" t="s">
        <v>1021</v>
      </c>
      <c r="B913" s="25" t="s">
        <v>1022</v>
      </c>
      <c r="C913" s="25"/>
      <c r="D913" s="25"/>
      <c r="E913" s="26" t="s">
        <v>1023</v>
      </c>
      <c r="F913" s="26"/>
      <c r="G913" s="26"/>
      <c r="H913" s="26"/>
      <c r="I913" s="26"/>
      <c r="J913" s="27" t="s">
        <v>2108</v>
      </c>
      <c r="K913" s="27"/>
      <c r="L913" s="27"/>
      <c r="M913" s="27"/>
      <c r="N913" s="28">
        <f>767.6</f>
        <v>767.6</v>
      </c>
      <c r="O913" s="28"/>
      <c r="P913" s="28"/>
      <c r="Q913" s="27" t="s">
        <v>2032</v>
      </c>
      <c r="R913" s="27"/>
      <c r="S913" s="29" t="s">
        <v>2032</v>
      </c>
      <c r="T913" s="29"/>
      <c r="U913" s="29"/>
      <c r="V913" s="29"/>
      <c r="W913" s="30" t="s">
        <v>2032</v>
      </c>
      <c r="X913" s="29" t="s">
        <v>2032</v>
      </c>
      <c r="Y913" s="29"/>
      <c r="Z913" s="29"/>
      <c r="AA913" s="29"/>
      <c r="AB913" s="27" t="s">
        <v>2108</v>
      </c>
      <c r="AC913" s="27"/>
      <c r="AD913" s="27"/>
      <c r="AE913" s="31">
        <f>767.6</f>
        <v>767.6</v>
      </c>
      <c r="AF913" s="31"/>
      <c r="AG913" s="31"/>
    </row>
    <row r="914" spans="1:33" s="1" customFormat="1" ht="18.75" customHeight="1">
      <c r="A914" s="24" t="s">
        <v>1024</v>
      </c>
      <c r="B914" s="25" t="s">
        <v>1025</v>
      </c>
      <c r="C914" s="25"/>
      <c r="D914" s="25"/>
      <c r="E914" s="26" t="s">
        <v>1026</v>
      </c>
      <c r="F914" s="26"/>
      <c r="G914" s="26"/>
      <c r="H914" s="26"/>
      <c r="I914" s="26"/>
      <c r="J914" s="27" t="s">
        <v>2123</v>
      </c>
      <c r="K914" s="27"/>
      <c r="L914" s="27"/>
      <c r="M914" s="27"/>
      <c r="N914" s="28">
        <f>1120</f>
        <v>1120</v>
      </c>
      <c r="O914" s="28"/>
      <c r="P914" s="28"/>
      <c r="Q914" s="27" t="s">
        <v>2032</v>
      </c>
      <c r="R914" s="27"/>
      <c r="S914" s="29" t="s">
        <v>2032</v>
      </c>
      <c r="T914" s="29"/>
      <c r="U914" s="29"/>
      <c r="V914" s="29"/>
      <c r="W914" s="30" t="s">
        <v>2032</v>
      </c>
      <c r="X914" s="29" t="s">
        <v>2032</v>
      </c>
      <c r="Y914" s="29"/>
      <c r="Z914" s="29"/>
      <c r="AA914" s="29"/>
      <c r="AB914" s="27" t="s">
        <v>2123</v>
      </c>
      <c r="AC914" s="27"/>
      <c r="AD914" s="27"/>
      <c r="AE914" s="31">
        <f>1120</f>
        <v>1120</v>
      </c>
      <c r="AF914" s="31"/>
      <c r="AG914" s="31"/>
    </row>
    <row r="915" spans="1:33" s="1" customFormat="1" ht="18.75" customHeight="1">
      <c r="A915" s="24" t="s">
        <v>1027</v>
      </c>
      <c r="B915" s="25" t="s">
        <v>1028</v>
      </c>
      <c r="C915" s="25"/>
      <c r="D915" s="25"/>
      <c r="E915" s="26" t="s">
        <v>1029</v>
      </c>
      <c r="F915" s="26"/>
      <c r="G915" s="26"/>
      <c r="H915" s="26"/>
      <c r="I915" s="26"/>
      <c r="J915" s="27" t="s">
        <v>2123</v>
      </c>
      <c r="K915" s="27"/>
      <c r="L915" s="27"/>
      <c r="M915" s="27"/>
      <c r="N915" s="28">
        <f>1280</f>
        <v>1280</v>
      </c>
      <c r="O915" s="28"/>
      <c r="P915" s="28"/>
      <c r="Q915" s="27" t="s">
        <v>2032</v>
      </c>
      <c r="R915" s="27"/>
      <c r="S915" s="29" t="s">
        <v>2032</v>
      </c>
      <c r="T915" s="29"/>
      <c r="U915" s="29"/>
      <c r="V915" s="29"/>
      <c r="W915" s="30" t="s">
        <v>2032</v>
      </c>
      <c r="X915" s="29" t="s">
        <v>2032</v>
      </c>
      <c r="Y915" s="29"/>
      <c r="Z915" s="29"/>
      <c r="AA915" s="29"/>
      <c r="AB915" s="27" t="s">
        <v>2123</v>
      </c>
      <c r="AC915" s="27"/>
      <c r="AD915" s="27"/>
      <c r="AE915" s="31">
        <f>1280</f>
        <v>1280</v>
      </c>
      <c r="AF915" s="31"/>
      <c r="AG915" s="31"/>
    </row>
    <row r="916" spans="1:33" s="1" customFormat="1" ht="18.75" customHeight="1">
      <c r="A916" s="24" t="s">
        <v>1030</v>
      </c>
      <c r="B916" s="25" t="s">
        <v>1031</v>
      </c>
      <c r="C916" s="25"/>
      <c r="D916" s="25"/>
      <c r="E916" s="26" t="s">
        <v>1032</v>
      </c>
      <c r="F916" s="26"/>
      <c r="G916" s="26"/>
      <c r="H916" s="26"/>
      <c r="I916" s="26"/>
      <c r="J916" s="27" t="s">
        <v>2102</v>
      </c>
      <c r="K916" s="27"/>
      <c r="L916" s="27"/>
      <c r="M916" s="27"/>
      <c r="N916" s="28">
        <f>810</f>
        <v>810</v>
      </c>
      <c r="O916" s="28"/>
      <c r="P916" s="28"/>
      <c r="Q916" s="27" t="s">
        <v>2032</v>
      </c>
      <c r="R916" s="27"/>
      <c r="S916" s="29" t="s">
        <v>2032</v>
      </c>
      <c r="T916" s="29"/>
      <c r="U916" s="29"/>
      <c r="V916" s="29"/>
      <c r="W916" s="30" t="s">
        <v>2032</v>
      </c>
      <c r="X916" s="29" t="s">
        <v>2032</v>
      </c>
      <c r="Y916" s="29"/>
      <c r="Z916" s="29"/>
      <c r="AA916" s="29"/>
      <c r="AB916" s="27" t="s">
        <v>2102</v>
      </c>
      <c r="AC916" s="27"/>
      <c r="AD916" s="27"/>
      <c r="AE916" s="31">
        <f>810</f>
        <v>810</v>
      </c>
      <c r="AF916" s="31"/>
      <c r="AG916" s="31"/>
    </row>
    <row r="917" spans="1:33" s="1" customFormat="1" ht="18.75" customHeight="1">
      <c r="A917" s="24" t="s">
        <v>1033</v>
      </c>
      <c r="B917" s="25" t="s">
        <v>1034</v>
      </c>
      <c r="C917" s="25"/>
      <c r="D917" s="25"/>
      <c r="E917" s="26" t="s">
        <v>1035</v>
      </c>
      <c r="F917" s="26"/>
      <c r="G917" s="26"/>
      <c r="H917" s="26"/>
      <c r="I917" s="26"/>
      <c r="J917" s="27" t="s">
        <v>2126</v>
      </c>
      <c r="K917" s="27"/>
      <c r="L917" s="27"/>
      <c r="M917" s="27"/>
      <c r="N917" s="28">
        <f>16200.08</f>
        <v>16200.08</v>
      </c>
      <c r="O917" s="28"/>
      <c r="P917" s="28"/>
      <c r="Q917" s="27" t="s">
        <v>2032</v>
      </c>
      <c r="R917" s="27"/>
      <c r="S917" s="29" t="s">
        <v>2032</v>
      </c>
      <c r="T917" s="29"/>
      <c r="U917" s="29"/>
      <c r="V917" s="29"/>
      <c r="W917" s="30" t="s">
        <v>2032</v>
      </c>
      <c r="X917" s="29" t="s">
        <v>2032</v>
      </c>
      <c r="Y917" s="29"/>
      <c r="Z917" s="29"/>
      <c r="AA917" s="29"/>
      <c r="AB917" s="27" t="s">
        <v>2126</v>
      </c>
      <c r="AC917" s="27"/>
      <c r="AD917" s="27"/>
      <c r="AE917" s="31">
        <f>16200.08</f>
        <v>16200.08</v>
      </c>
      <c r="AF917" s="31"/>
      <c r="AG917" s="31"/>
    </row>
    <row r="918" spans="1:33" s="1" customFormat="1" ht="18.75" customHeight="1">
      <c r="A918" s="24" t="s">
        <v>1036</v>
      </c>
      <c r="B918" s="25" t="s">
        <v>1037</v>
      </c>
      <c r="C918" s="25"/>
      <c r="D918" s="25"/>
      <c r="E918" s="26" t="s">
        <v>1038</v>
      </c>
      <c r="F918" s="26"/>
      <c r="G918" s="26"/>
      <c r="H918" s="26"/>
      <c r="I918" s="26"/>
      <c r="J918" s="27" t="s">
        <v>2056</v>
      </c>
      <c r="K918" s="27"/>
      <c r="L918" s="27"/>
      <c r="M918" s="27"/>
      <c r="N918" s="28">
        <f>2033</f>
        <v>2033</v>
      </c>
      <c r="O918" s="28"/>
      <c r="P918" s="28"/>
      <c r="Q918" s="27" t="s">
        <v>2032</v>
      </c>
      <c r="R918" s="27"/>
      <c r="S918" s="29" t="s">
        <v>2032</v>
      </c>
      <c r="T918" s="29"/>
      <c r="U918" s="29"/>
      <c r="V918" s="29"/>
      <c r="W918" s="30" t="s">
        <v>2032</v>
      </c>
      <c r="X918" s="29" t="s">
        <v>2032</v>
      </c>
      <c r="Y918" s="29"/>
      <c r="Z918" s="29"/>
      <c r="AA918" s="29"/>
      <c r="AB918" s="27" t="s">
        <v>2056</v>
      </c>
      <c r="AC918" s="27"/>
      <c r="AD918" s="27"/>
      <c r="AE918" s="31">
        <f>2033</f>
        <v>2033</v>
      </c>
      <c r="AF918" s="31"/>
      <c r="AG918" s="31"/>
    </row>
    <row r="919" spans="1:33" s="1" customFormat="1" ht="18.75" customHeight="1">
      <c r="A919" s="24" t="s">
        <v>1039</v>
      </c>
      <c r="B919" s="25" t="s">
        <v>1040</v>
      </c>
      <c r="C919" s="25"/>
      <c r="D919" s="25"/>
      <c r="E919" s="26" t="s">
        <v>1041</v>
      </c>
      <c r="F919" s="26"/>
      <c r="G919" s="26"/>
      <c r="H919" s="26"/>
      <c r="I919" s="26"/>
      <c r="J919" s="27" t="s">
        <v>2061</v>
      </c>
      <c r="K919" s="27"/>
      <c r="L919" s="27"/>
      <c r="M919" s="27"/>
      <c r="N919" s="28">
        <f>1863.1</f>
        <v>1863.1</v>
      </c>
      <c r="O919" s="28"/>
      <c r="P919" s="28"/>
      <c r="Q919" s="27" t="s">
        <v>2032</v>
      </c>
      <c r="R919" s="27"/>
      <c r="S919" s="29" t="s">
        <v>2032</v>
      </c>
      <c r="T919" s="29"/>
      <c r="U919" s="29"/>
      <c r="V919" s="29"/>
      <c r="W919" s="30" t="s">
        <v>2032</v>
      </c>
      <c r="X919" s="29" t="s">
        <v>2032</v>
      </c>
      <c r="Y919" s="29"/>
      <c r="Z919" s="29"/>
      <c r="AA919" s="29"/>
      <c r="AB919" s="27" t="s">
        <v>2061</v>
      </c>
      <c r="AC919" s="27"/>
      <c r="AD919" s="27"/>
      <c r="AE919" s="31">
        <f>1863.1</f>
        <v>1863.1</v>
      </c>
      <c r="AF919" s="31"/>
      <c r="AG919" s="31"/>
    </row>
    <row r="920" spans="1:33" s="1" customFormat="1" ht="33" customHeight="1">
      <c r="A920" s="24" t="s">
        <v>1042</v>
      </c>
      <c r="B920" s="25" t="s">
        <v>1043</v>
      </c>
      <c r="C920" s="25"/>
      <c r="D920" s="25"/>
      <c r="E920" s="26" t="s">
        <v>1044</v>
      </c>
      <c r="F920" s="26"/>
      <c r="G920" s="26"/>
      <c r="H920" s="26"/>
      <c r="I920" s="26"/>
      <c r="J920" s="27" t="s">
        <v>2061</v>
      </c>
      <c r="K920" s="27"/>
      <c r="L920" s="27"/>
      <c r="M920" s="27"/>
      <c r="N920" s="28">
        <f>12024</f>
        <v>12024</v>
      </c>
      <c r="O920" s="28"/>
      <c r="P920" s="28"/>
      <c r="Q920" s="27" t="s">
        <v>2032</v>
      </c>
      <c r="R920" s="27"/>
      <c r="S920" s="29" t="s">
        <v>2032</v>
      </c>
      <c r="T920" s="29"/>
      <c r="U920" s="29"/>
      <c r="V920" s="29"/>
      <c r="W920" s="30" t="s">
        <v>2032</v>
      </c>
      <c r="X920" s="29" t="s">
        <v>2032</v>
      </c>
      <c r="Y920" s="29"/>
      <c r="Z920" s="29"/>
      <c r="AA920" s="29"/>
      <c r="AB920" s="27" t="s">
        <v>2061</v>
      </c>
      <c r="AC920" s="27"/>
      <c r="AD920" s="27"/>
      <c r="AE920" s="31">
        <f>12024</f>
        <v>12024</v>
      </c>
      <c r="AF920" s="31"/>
      <c r="AG920" s="31"/>
    </row>
    <row r="921" spans="1:33" s="1" customFormat="1" ht="18.75" customHeight="1">
      <c r="A921" s="24" t="s">
        <v>1045</v>
      </c>
      <c r="B921" s="25" t="s">
        <v>3726</v>
      </c>
      <c r="C921" s="25"/>
      <c r="D921" s="25"/>
      <c r="E921" s="26" t="s">
        <v>1046</v>
      </c>
      <c r="F921" s="26"/>
      <c r="G921" s="26"/>
      <c r="H921" s="26"/>
      <c r="I921" s="26"/>
      <c r="J921" s="27" t="s">
        <v>2056</v>
      </c>
      <c r="K921" s="27"/>
      <c r="L921" s="27"/>
      <c r="M921" s="27"/>
      <c r="N921" s="28">
        <f>73.06</f>
        <v>73.06</v>
      </c>
      <c r="O921" s="28"/>
      <c r="P921" s="28"/>
      <c r="Q921" s="27" t="s">
        <v>2032</v>
      </c>
      <c r="R921" s="27"/>
      <c r="S921" s="29" t="s">
        <v>2032</v>
      </c>
      <c r="T921" s="29"/>
      <c r="U921" s="29"/>
      <c r="V921" s="29"/>
      <c r="W921" s="30" t="s">
        <v>2032</v>
      </c>
      <c r="X921" s="29" t="s">
        <v>2032</v>
      </c>
      <c r="Y921" s="29"/>
      <c r="Z921" s="29"/>
      <c r="AA921" s="29"/>
      <c r="AB921" s="27" t="s">
        <v>2056</v>
      </c>
      <c r="AC921" s="27"/>
      <c r="AD921" s="27"/>
      <c r="AE921" s="31">
        <f>73.06</f>
        <v>73.06</v>
      </c>
      <c r="AF921" s="31"/>
      <c r="AG921" s="31"/>
    </row>
    <row r="922" spans="1:33" s="1" customFormat="1" ht="18.75" customHeight="1">
      <c r="A922" s="24" t="s">
        <v>1047</v>
      </c>
      <c r="B922" s="25" t="s">
        <v>1048</v>
      </c>
      <c r="C922" s="25"/>
      <c r="D922" s="25"/>
      <c r="E922" s="26" t="s">
        <v>1049</v>
      </c>
      <c r="F922" s="26"/>
      <c r="G922" s="26"/>
      <c r="H922" s="26"/>
      <c r="I922" s="26"/>
      <c r="J922" s="27" t="s">
        <v>2057</v>
      </c>
      <c r="K922" s="27"/>
      <c r="L922" s="27"/>
      <c r="M922" s="27"/>
      <c r="N922" s="28">
        <f>162.36</f>
        <v>162.36</v>
      </c>
      <c r="O922" s="28"/>
      <c r="P922" s="28"/>
      <c r="Q922" s="27" t="s">
        <v>2032</v>
      </c>
      <c r="R922" s="27"/>
      <c r="S922" s="29" t="s">
        <v>2032</v>
      </c>
      <c r="T922" s="29"/>
      <c r="U922" s="29"/>
      <c r="V922" s="29"/>
      <c r="W922" s="30" t="s">
        <v>2032</v>
      </c>
      <c r="X922" s="29" t="s">
        <v>2032</v>
      </c>
      <c r="Y922" s="29"/>
      <c r="Z922" s="29"/>
      <c r="AA922" s="29"/>
      <c r="AB922" s="27" t="s">
        <v>2057</v>
      </c>
      <c r="AC922" s="27"/>
      <c r="AD922" s="27"/>
      <c r="AE922" s="31">
        <f>162.36</f>
        <v>162.36</v>
      </c>
      <c r="AF922" s="31"/>
      <c r="AG922" s="31"/>
    </row>
    <row r="923" spans="1:33" s="1" customFormat="1" ht="33" customHeight="1">
      <c r="A923" s="24" t="s">
        <v>1050</v>
      </c>
      <c r="B923" s="25" t="s">
        <v>2666</v>
      </c>
      <c r="C923" s="25"/>
      <c r="D923" s="25"/>
      <c r="E923" s="26" t="s">
        <v>1051</v>
      </c>
      <c r="F923" s="26"/>
      <c r="G923" s="26"/>
      <c r="H923" s="26"/>
      <c r="I923" s="26"/>
      <c r="J923" s="27" t="s">
        <v>2056</v>
      </c>
      <c r="K923" s="27"/>
      <c r="L923" s="27"/>
      <c r="M923" s="27"/>
      <c r="N923" s="28">
        <f>580</f>
        <v>580</v>
      </c>
      <c r="O923" s="28"/>
      <c r="P923" s="28"/>
      <c r="Q923" s="27" t="s">
        <v>2032</v>
      </c>
      <c r="R923" s="27"/>
      <c r="S923" s="29" t="s">
        <v>2032</v>
      </c>
      <c r="T923" s="29"/>
      <c r="U923" s="29"/>
      <c r="V923" s="29"/>
      <c r="W923" s="30" t="s">
        <v>2032</v>
      </c>
      <c r="X923" s="29" t="s">
        <v>2032</v>
      </c>
      <c r="Y923" s="29"/>
      <c r="Z923" s="29"/>
      <c r="AA923" s="29"/>
      <c r="AB923" s="27" t="s">
        <v>2056</v>
      </c>
      <c r="AC923" s="27"/>
      <c r="AD923" s="27"/>
      <c r="AE923" s="31">
        <f>580</f>
        <v>580</v>
      </c>
      <c r="AF923" s="31"/>
      <c r="AG923" s="31"/>
    </row>
    <row r="924" spans="1:33" s="1" customFormat="1" ht="18.75" customHeight="1">
      <c r="A924" s="24" t="s">
        <v>1052</v>
      </c>
      <c r="B924" s="25" t="s">
        <v>1053</v>
      </c>
      <c r="C924" s="25"/>
      <c r="D924" s="25"/>
      <c r="E924" s="26" t="s">
        <v>1054</v>
      </c>
      <c r="F924" s="26"/>
      <c r="G924" s="26"/>
      <c r="H924" s="26"/>
      <c r="I924" s="26"/>
      <c r="J924" s="27" t="s">
        <v>2056</v>
      </c>
      <c r="K924" s="27"/>
      <c r="L924" s="27"/>
      <c r="M924" s="27"/>
      <c r="N924" s="28">
        <f>475.21</f>
        <v>475.21</v>
      </c>
      <c r="O924" s="28"/>
      <c r="P924" s="28"/>
      <c r="Q924" s="27" t="s">
        <v>2032</v>
      </c>
      <c r="R924" s="27"/>
      <c r="S924" s="29" t="s">
        <v>2032</v>
      </c>
      <c r="T924" s="29"/>
      <c r="U924" s="29"/>
      <c r="V924" s="29"/>
      <c r="W924" s="30" t="s">
        <v>2032</v>
      </c>
      <c r="X924" s="29" t="s">
        <v>2032</v>
      </c>
      <c r="Y924" s="29"/>
      <c r="Z924" s="29"/>
      <c r="AA924" s="29"/>
      <c r="AB924" s="27" t="s">
        <v>2056</v>
      </c>
      <c r="AC924" s="27"/>
      <c r="AD924" s="27"/>
      <c r="AE924" s="31">
        <f>475.21</f>
        <v>475.21</v>
      </c>
      <c r="AF924" s="31"/>
      <c r="AG924" s="31"/>
    </row>
    <row r="925" spans="1:33" s="1" customFormat="1" ht="18.75" customHeight="1">
      <c r="A925" s="24" t="s">
        <v>1055</v>
      </c>
      <c r="B925" s="25" t="s">
        <v>2558</v>
      </c>
      <c r="C925" s="25"/>
      <c r="D925" s="25"/>
      <c r="E925" s="26" t="s">
        <v>1056</v>
      </c>
      <c r="F925" s="26"/>
      <c r="G925" s="26"/>
      <c r="H925" s="26"/>
      <c r="I925" s="26"/>
      <c r="J925" s="27" t="s">
        <v>2063</v>
      </c>
      <c r="K925" s="27"/>
      <c r="L925" s="27"/>
      <c r="M925" s="27"/>
      <c r="N925" s="28">
        <f>660.8</f>
        <v>660.8</v>
      </c>
      <c r="O925" s="28"/>
      <c r="P925" s="28"/>
      <c r="Q925" s="27" t="s">
        <v>2032</v>
      </c>
      <c r="R925" s="27"/>
      <c r="S925" s="29" t="s">
        <v>2032</v>
      </c>
      <c r="T925" s="29"/>
      <c r="U925" s="29"/>
      <c r="V925" s="29"/>
      <c r="W925" s="30" t="s">
        <v>2032</v>
      </c>
      <c r="X925" s="29" t="s">
        <v>2032</v>
      </c>
      <c r="Y925" s="29"/>
      <c r="Z925" s="29"/>
      <c r="AA925" s="29"/>
      <c r="AB925" s="27" t="s">
        <v>2063</v>
      </c>
      <c r="AC925" s="27"/>
      <c r="AD925" s="27"/>
      <c r="AE925" s="31">
        <f>660.8</f>
        <v>660.8</v>
      </c>
      <c r="AF925" s="31"/>
      <c r="AG925" s="31"/>
    </row>
    <row r="926" spans="1:33" s="1" customFormat="1" ht="18.75" customHeight="1">
      <c r="A926" s="24" t="s">
        <v>1057</v>
      </c>
      <c r="B926" s="25" t="s">
        <v>2459</v>
      </c>
      <c r="C926" s="25"/>
      <c r="D926" s="25"/>
      <c r="E926" s="26" t="s">
        <v>1058</v>
      </c>
      <c r="F926" s="26"/>
      <c r="G926" s="26"/>
      <c r="H926" s="26"/>
      <c r="I926" s="26"/>
      <c r="J926" s="27" t="s">
        <v>2060</v>
      </c>
      <c r="K926" s="27"/>
      <c r="L926" s="27"/>
      <c r="M926" s="27"/>
      <c r="N926" s="28">
        <f>260</f>
        <v>260</v>
      </c>
      <c r="O926" s="28"/>
      <c r="P926" s="28"/>
      <c r="Q926" s="27" t="s">
        <v>2032</v>
      </c>
      <c r="R926" s="27"/>
      <c r="S926" s="29" t="s">
        <v>2032</v>
      </c>
      <c r="T926" s="29"/>
      <c r="U926" s="29"/>
      <c r="V926" s="29"/>
      <c r="W926" s="30" t="s">
        <v>2032</v>
      </c>
      <c r="X926" s="29" t="s">
        <v>2032</v>
      </c>
      <c r="Y926" s="29"/>
      <c r="Z926" s="29"/>
      <c r="AA926" s="29"/>
      <c r="AB926" s="27" t="s">
        <v>2060</v>
      </c>
      <c r="AC926" s="27"/>
      <c r="AD926" s="27"/>
      <c r="AE926" s="31">
        <f>260</f>
        <v>260</v>
      </c>
      <c r="AF926" s="31"/>
      <c r="AG926" s="31"/>
    </row>
    <row r="927" spans="1:33" s="1" customFormat="1" ht="33" customHeight="1">
      <c r="A927" s="24" t="s">
        <v>1059</v>
      </c>
      <c r="B927" s="25" t="s">
        <v>1060</v>
      </c>
      <c r="C927" s="25"/>
      <c r="D927" s="25"/>
      <c r="E927" s="26" t="s">
        <v>1061</v>
      </c>
      <c r="F927" s="26"/>
      <c r="G927" s="26"/>
      <c r="H927" s="26"/>
      <c r="I927" s="26"/>
      <c r="J927" s="27" t="s">
        <v>2056</v>
      </c>
      <c r="K927" s="27"/>
      <c r="L927" s="27"/>
      <c r="M927" s="27"/>
      <c r="N927" s="28">
        <f>300</f>
        <v>300</v>
      </c>
      <c r="O927" s="28"/>
      <c r="P927" s="28"/>
      <c r="Q927" s="27" t="s">
        <v>2032</v>
      </c>
      <c r="R927" s="27"/>
      <c r="S927" s="29" t="s">
        <v>2032</v>
      </c>
      <c r="T927" s="29"/>
      <c r="U927" s="29"/>
      <c r="V927" s="29"/>
      <c r="W927" s="30" t="s">
        <v>2032</v>
      </c>
      <c r="X927" s="29" t="s">
        <v>2032</v>
      </c>
      <c r="Y927" s="29"/>
      <c r="Z927" s="29"/>
      <c r="AA927" s="29"/>
      <c r="AB927" s="27" t="s">
        <v>2056</v>
      </c>
      <c r="AC927" s="27"/>
      <c r="AD927" s="27"/>
      <c r="AE927" s="31">
        <f>300</f>
        <v>300</v>
      </c>
      <c r="AF927" s="31"/>
      <c r="AG927" s="31"/>
    </row>
    <row r="928" spans="1:33" s="1" customFormat="1" ht="33" customHeight="1">
      <c r="A928" s="24" t="s">
        <v>1062</v>
      </c>
      <c r="B928" s="25" t="s">
        <v>1063</v>
      </c>
      <c r="C928" s="25"/>
      <c r="D928" s="25"/>
      <c r="E928" s="26" t="s">
        <v>1064</v>
      </c>
      <c r="F928" s="26"/>
      <c r="G928" s="26"/>
      <c r="H928" s="26"/>
      <c r="I928" s="26"/>
      <c r="J928" s="27" t="s">
        <v>2056</v>
      </c>
      <c r="K928" s="27"/>
      <c r="L928" s="27"/>
      <c r="M928" s="27"/>
      <c r="N928" s="28">
        <f>300</f>
        <v>300</v>
      </c>
      <c r="O928" s="28"/>
      <c r="P928" s="28"/>
      <c r="Q928" s="27" t="s">
        <v>2032</v>
      </c>
      <c r="R928" s="27"/>
      <c r="S928" s="29" t="s">
        <v>2032</v>
      </c>
      <c r="T928" s="29"/>
      <c r="U928" s="29"/>
      <c r="V928" s="29"/>
      <c r="W928" s="30" t="s">
        <v>2032</v>
      </c>
      <c r="X928" s="29" t="s">
        <v>2032</v>
      </c>
      <c r="Y928" s="29"/>
      <c r="Z928" s="29"/>
      <c r="AA928" s="29"/>
      <c r="AB928" s="27" t="s">
        <v>2056</v>
      </c>
      <c r="AC928" s="27"/>
      <c r="AD928" s="27"/>
      <c r="AE928" s="31">
        <f>300</f>
        <v>300</v>
      </c>
      <c r="AF928" s="31"/>
      <c r="AG928" s="31"/>
    </row>
    <row r="929" spans="1:33" s="1" customFormat="1" ht="18.75" customHeight="1">
      <c r="A929" s="24" t="s">
        <v>1065</v>
      </c>
      <c r="B929" s="25" t="s">
        <v>1066</v>
      </c>
      <c r="C929" s="25"/>
      <c r="D929" s="25"/>
      <c r="E929" s="26" t="s">
        <v>1067</v>
      </c>
      <c r="F929" s="26"/>
      <c r="G929" s="26"/>
      <c r="H929" s="26"/>
      <c r="I929" s="26"/>
      <c r="J929" s="27" t="s">
        <v>2056</v>
      </c>
      <c r="K929" s="27"/>
      <c r="L929" s="27"/>
      <c r="M929" s="27"/>
      <c r="N929" s="28">
        <f>2568</f>
        <v>2568</v>
      </c>
      <c r="O929" s="28"/>
      <c r="P929" s="28"/>
      <c r="Q929" s="27" t="s">
        <v>2032</v>
      </c>
      <c r="R929" s="27"/>
      <c r="S929" s="29" t="s">
        <v>2032</v>
      </c>
      <c r="T929" s="29"/>
      <c r="U929" s="29"/>
      <c r="V929" s="29"/>
      <c r="W929" s="30" t="s">
        <v>2032</v>
      </c>
      <c r="X929" s="29" t="s">
        <v>2032</v>
      </c>
      <c r="Y929" s="29"/>
      <c r="Z929" s="29"/>
      <c r="AA929" s="29"/>
      <c r="AB929" s="27" t="s">
        <v>2056</v>
      </c>
      <c r="AC929" s="27"/>
      <c r="AD929" s="27"/>
      <c r="AE929" s="31">
        <f>2568</f>
        <v>2568</v>
      </c>
      <c r="AF929" s="31"/>
      <c r="AG929" s="31"/>
    </row>
    <row r="930" spans="1:33" s="1" customFormat="1" ht="18.75" customHeight="1">
      <c r="A930" s="24" t="s">
        <v>1068</v>
      </c>
      <c r="B930" s="25" t="s">
        <v>1069</v>
      </c>
      <c r="C930" s="25"/>
      <c r="D930" s="25"/>
      <c r="E930" s="26" t="s">
        <v>1070</v>
      </c>
      <c r="F930" s="26"/>
      <c r="G930" s="26"/>
      <c r="H930" s="26"/>
      <c r="I930" s="26"/>
      <c r="J930" s="27" t="s">
        <v>2056</v>
      </c>
      <c r="K930" s="27"/>
      <c r="L930" s="27"/>
      <c r="M930" s="27"/>
      <c r="N930" s="28">
        <f>2568</f>
        <v>2568</v>
      </c>
      <c r="O930" s="28"/>
      <c r="P930" s="28"/>
      <c r="Q930" s="27" t="s">
        <v>2032</v>
      </c>
      <c r="R930" s="27"/>
      <c r="S930" s="29" t="s">
        <v>2032</v>
      </c>
      <c r="T930" s="29"/>
      <c r="U930" s="29"/>
      <c r="V930" s="29"/>
      <c r="W930" s="30" t="s">
        <v>2032</v>
      </c>
      <c r="X930" s="29" t="s">
        <v>2032</v>
      </c>
      <c r="Y930" s="29"/>
      <c r="Z930" s="29"/>
      <c r="AA930" s="29"/>
      <c r="AB930" s="27" t="s">
        <v>2056</v>
      </c>
      <c r="AC930" s="27"/>
      <c r="AD930" s="27"/>
      <c r="AE930" s="31">
        <f>2568</f>
        <v>2568</v>
      </c>
      <c r="AF930" s="31"/>
      <c r="AG930" s="31"/>
    </row>
    <row r="931" spans="1:33" s="1" customFormat="1" ht="18.75" customHeight="1">
      <c r="A931" s="24" t="s">
        <v>1071</v>
      </c>
      <c r="B931" s="25" t="s">
        <v>1072</v>
      </c>
      <c r="C931" s="25"/>
      <c r="D931" s="25"/>
      <c r="E931" s="26" t="s">
        <v>1073</v>
      </c>
      <c r="F931" s="26"/>
      <c r="G931" s="26"/>
      <c r="H931" s="26"/>
      <c r="I931" s="26"/>
      <c r="J931" s="27" t="s">
        <v>2060</v>
      </c>
      <c r="K931" s="27"/>
      <c r="L931" s="27"/>
      <c r="M931" s="27"/>
      <c r="N931" s="28">
        <f>1388.2</f>
        <v>1388.2</v>
      </c>
      <c r="O931" s="28"/>
      <c r="P931" s="28"/>
      <c r="Q931" s="27" t="s">
        <v>2032</v>
      </c>
      <c r="R931" s="27"/>
      <c r="S931" s="29" t="s">
        <v>2032</v>
      </c>
      <c r="T931" s="29"/>
      <c r="U931" s="29"/>
      <c r="V931" s="29"/>
      <c r="W931" s="30" t="s">
        <v>2032</v>
      </c>
      <c r="X931" s="29" t="s">
        <v>2032</v>
      </c>
      <c r="Y931" s="29"/>
      <c r="Z931" s="29"/>
      <c r="AA931" s="29"/>
      <c r="AB931" s="27" t="s">
        <v>2060</v>
      </c>
      <c r="AC931" s="27"/>
      <c r="AD931" s="27"/>
      <c r="AE931" s="31">
        <f>1388.2</f>
        <v>1388.2</v>
      </c>
      <c r="AF931" s="31"/>
      <c r="AG931" s="31"/>
    </row>
    <row r="932" spans="1:33" s="1" customFormat="1" ht="18.75" customHeight="1">
      <c r="A932" s="24" t="s">
        <v>1074</v>
      </c>
      <c r="B932" s="25" t="s">
        <v>1075</v>
      </c>
      <c r="C932" s="25"/>
      <c r="D932" s="25"/>
      <c r="E932" s="26" t="s">
        <v>1076</v>
      </c>
      <c r="F932" s="26"/>
      <c r="G932" s="26"/>
      <c r="H932" s="26"/>
      <c r="I932" s="26"/>
      <c r="J932" s="27" t="s">
        <v>2058</v>
      </c>
      <c r="K932" s="27"/>
      <c r="L932" s="27"/>
      <c r="M932" s="27"/>
      <c r="N932" s="28">
        <f>219.18</f>
        <v>219.18</v>
      </c>
      <c r="O932" s="28"/>
      <c r="P932" s="28"/>
      <c r="Q932" s="27" t="s">
        <v>2032</v>
      </c>
      <c r="R932" s="27"/>
      <c r="S932" s="29" t="s">
        <v>2032</v>
      </c>
      <c r="T932" s="29"/>
      <c r="U932" s="29"/>
      <c r="V932" s="29"/>
      <c r="W932" s="30" t="s">
        <v>2032</v>
      </c>
      <c r="X932" s="29" t="s">
        <v>2032</v>
      </c>
      <c r="Y932" s="29"/>
      <c r="Z932" s="29"/>
      <c r="AA932" s="29"/>
      <c r="AB932" s="27" t="s">
        <v>2058</v>
      </c>
      <c r="AC932" s="27"/>
      <c r="AD932" s="27"/>
      <c r="AE932" s="31">
        <f>219.18</f>
        <v>219.18</v>
      </c>
      <c r="AF932" s="31"/>
      <c r="AG932" s="31"/>
    </row>
    <row r="933" spans="1:33" s="1" customFormat="1" ht="18.75" customHeight="1">
      <c r="A933" s="24" t="s">
        <v>1077</v>
      </c>
      <c r="B933" s="25" t="s">
        <v>1078</v>
      </c>
      <c r="C933" s="25"/>
      <c r="D933" s="25"/>
      <c r="E933" s="26" t="s">
        <v>1079</v>
      </c>
      <c r="F933" s="26"/>
      <c r="G933" s="26"/>
      <c r="H933" s="26"/>
      <c r="I933" s="26"/>
      <c r="J933" s="27" t="s">
        <v>2085</v>
      </c>
      <c r="K933" s="27"/>
      <c r="L933" s="27"/>
      <c r="M933" s="27"/>
      <c r="N933" s="28">
        <f>4997.52</f>
        <v>4997.52</v>
      </c>
      <c r="O933" s="28"/>
      <c r="P933" s="28"/>
      <c r="Q933" s="27" t="s">
        <v>2032</v>
      </c>
      <c r="R933" s="27"/>
      <c r="S933" s="29" t="s">
        <v>2032</v>
      </c>
      <c r="T933" s="29"/>
      <c r="U933" s="29"/>
      <c r="V933" s="29"/>
      <c r="W933" s="30" t="s">
        <v>2032</v>
      </c>
      <c r="X933" s="29" t="s">
        <v>2032</v>
      </c>
      <c r="Y933" s="29"/>
      <c r="Z933" s="29"/>
      <c r="AA933" s="29"/>
      <c r="AB933" s="27" t="s">
        <v>2085</v>
      </c>
      <c r="AC933" s="27"/>
      <c r="AD933" s="27"/>
      <c r="AE933" s="31">
        <f>4997.52</f>
        <v>4997.52</v>
      </c>
      <c r="AF933" s="31"/>
      <c r="AG933" s="31"/>
    </row>
    <row r="934" spans="1:33" s="1" customFormat="1" ht="18.75" customHeight="1">
      <c r="A934" s="24" t="s">
        <v>1080</v>
      </c>
      <c r="B934" s="25" t="s">
        <v>1081</v>
      </c>
      <c r="C934" s="25"/>
      <c r="D934" s="25"/>
      <c r="E934" s="26" t="s">
        <v>1082</v>
      </c>
      <c r="F934" s="26"/>
      <c r="G934" s="26"/>
      <c r="H934" s="26"/>
      <c r="I934" s="26"/>
      <c r="J934" s="27" t="s">
        <v>2056</v>
      </c>
      <c r="K934" s="27"/>
      <c r="L934" s="27"/>
      <c r="M934" s="27"/>
      <c r="N934" s="28">
        <f>1710</f>
        <v>1710</v>
      </c>
      <c r="O934" s="28"/>
      <c r="P934" s="28"/>
      <c r="Q934" s="27" t="s">
        <v>2032</v>
      </c>
      <c r="R934" s="27"/>
      <c r="S934" s="29" t="s">
        <v>2032</v>
      </c>
      <c r="T934" s="29"/>
      <c r="U934" s="29"/>
      <c r="V934" s="29"/>
      <c r="W934" s="30" t="s">
        <v>2032</v>
      </c>
      <c r="X934" s="29" t="s">
        <v>2032</v>
      </c>
      <c r="Y934" s="29"/>
      <c r="Z934" s="29"/>
      <c r="AA934" s="29"/>
      <c r="AB934" s="27" t="s">
        <v>2056</v>
      </c>
      <c r="AC934" s="27"/>
      <c r="AD934" s="27"/>
      <c r="AE934" s="31">
        <f>1710</f>
        <v>1710</v>
      </c>
      <c r="AF934" s="31"/>
      <c r="AG934" s="31"/>
    </row>
    <row r="935" spans="1:33" s="1" customFormat="1" ht="18.75" customHeight="1">
      <c r="A935" s="24" t="s">
        <v>1083</v>
      </c>
      <c r="B935" s="25" t="s">
        <v>1084</v>
      </c>
      <c r="C935" s="25"/>
      <c r="D935" s="25"/>
      <c r="E935" s="26" t="s">
        <v>1085</v>
      </c>
      <c r="F935" s="26"/>
      <c r="G935" s="26"/>
      <c r="H935" s="26"/>
      <c r="I935" s="26"/>
      <c r="J935" s="27" t="s">
        <v>2056</v>
      </c>
      <c r="K935" s="27"/>
      <c r="L935" s="27"/>
      <c r="M935" s="27"/>
      <c r="N935" s="28">
        <f>1710</f>
        <v>1710</v>
      </c>
      <c r="O935" s="28"/>
      <c r="P935" s="28"/>
      <c r="Q935" s="27" t="s">
        <v>2032</v>
      </c>
      <c r="R935" s="27"/>
      <c r="S935" s="29" t="s">
        <v>2032</v>
      </c>
      <c r="T935" s="29"/>
      <c r="U935" s="29"/>
      <c r="V935" s="29"/>
      <c r="W935" s="30" t="s">
        <v>2032</v>
      </c>
      <c r="X935" s="29" t="s">
        <v>2032</v>
      </c>
      <c r="Y935" s="29"/>
      <c r="Z935" s="29"/>
      <c r="AA935" s="29"/>
      <c r="AB935" s="27" t="s">
        <v>2056</v>
      </c>
      <c r="AC935" s="27"/>
      <c r="AD935" s="27"/>
      <c r="AE935" s="31">
        <f>1710</f>
        <v>1710</v>
      </c>
      <c r="AF935" s="31"/>
      <c r="AG935" s="31"/>
    </row>
    <row r="936" spans="1:33" s="1" customFormat="1" ht="18.75" customHeight="1">
      <c r="A936" s="24" t="s">
        <v>1086</v>
      </c>
      <c r="B936" s="25" t="s">
        <v>1087</v>
      </c>
      <c r="C936" s="25"/>
      <c r="D936" s="25"/>
      <c r="E936" s="26" t="s">
        <v>1088</v>
      </c>
      <c r="F936" s="26"/>
      <c r="G936" s="26"/>
      <c r="H936" s="26"/>
      <c r="I936" s="26"/>
      <c r="J936" s="27" t="s">
        <v>2056</v>
      </c>
      <c r="K936" s="27"/>
      <c r="L936" s="27"/>
      <c r="M936" s="27"/>
      <c r="N936" s="28">
        <f>1881</f>
        <v>1881</v>
      </c>
      <c r="O936" s="28"/>
      <c r="P936" s="28"/>
      <c r="Q936" s="27" t="s">
        <v>2032</v>
      </c>
      <c r="R936" s="27"/>
      <c r="S936" s="29" t="s">
        <v>2032</v>
      </c>
      <c r="T936" s="29"/>
      <c r="U936" s="29"/>
      <c r="V936" s="29"/>
      <c r="W936" s="30" t="s">
        <v>2032</v>
      </c>
      <c r="X936" s="29" t="s">
        <v>2032</v>
      </c>
      <c r="Y936" s="29"/>
      <c r="Z936" s="29"/>
      <c r="AA936" s="29"/>
      <c r="AB936" s="27" t="s">
        <v>2056</v>
      </c>
      <c r="AC936" s="27"/>
      <c r="AD936" s="27"/>
      <c r="AE936" s="31">
        <f>1881</f>
        <v>1881</v>
      </c>
      <c r="AF936" s="31"/>
      <c r="AG936" s="31"/>
    </row>
    <row r="937" spans="1:33" s="1" customFormat="1" ht="33" customHeight="1">
      <c r="A937" s="24" t="s">
        <v>1089</v>
      </c>
      <c r="B937" s="25" t="s">
        <v>1090</v>
      </c>
      <c r="C937" s="25"/>
      <c r="D937" s="25"/>
      <c r="E937" s="26" t="s">
        <v>1091</v>
      </c>
      <c r="F937" s="26"/>
      <c r="G937" s="26"/>
      <c r="H937" s="26"/>
      <c r="I937" s="26"/>
      <c r="J937" s="27" t="s">
        <v>2056</v>
      </c>
      <c r="K937" s="27"/>
      <c r="L937" s="27"/>
      <c r="M937" s="27"/>
      <c r="N937" s="28">
        <f>1463.7</f>
        <v>1463.7</v>
      </c>
      <c r="O937" s="28"/>
      <c r="P937" s="28"/>
      <c r="Q937" s="27" t="s">
        <v>2032</v>
      </c>
      <c r="R937" s="27"/>
      <c r="S937" s="29" t="s">
        <v>2032</v>
      </c>
      <c r="T937" s="29"/>
      <c r="U937" s="29"/>
      <c r="V937" s="29"/>
      <c r="W937" s="30" t="s">
        <v>2032</v>
      </c>
      <c r="X937" s="29" t="s">
        <v>2032</v>
      </c>
      <c r="Y937" s="29"/>
      <c r="Z937" s="29"/>
      <c r="AA937" s="29"/>
      <c r="AB937" s="27" t="s">
        <v>2056</v>
      </c>
      <c r="AC937" s="27"/>
      <c r="AD937" s="27"/>
      <c r="AE937" s="31">
        <f>1463.7</f>
        <v>1463.7</v>
      </c>
      <c r="AF937" s="31"/>
      <c r="AG937" s="31"/>
    </row>
    <row r="938" spans="1:33" s="1" customFormat="1" ht="18.75" customHeight="1">
      <c r="A938" s="24" t="s">
        <v>1092</v>
      </c>
      <c r="B938" s="25" t="s">
        <v>1093</v>
      </c>
      <c r="C938" s="25"/>
      <c r="D938" s="25"/>
      <c r="E938" s="26" t="s">
        <v>1094</v>
      </c>
      <c r="F938" s="26"/>
      <c r="G938" s="26"/>
      <c r="H938" s="26"/>
      <c r="I938" s="26"/>
      <c r="J938" s="27" t="s">
        <v>2056</v>
      </c>
      <c r="K938" s="27"/>
      <c r="L938" s="27"/>
      <c r="M938" s="27"/>
      <c r="N938" s="28">
        <f>879</f>
        <v>879</v>
      </c>
      <c r="O938" s="28"/>
      <c r="P938" s="28"/>
      <c r="Q938" s="27" t="s">
        <v>2032</v>
      </c>
      <c r="R938" s="27"/>
      <c r="S938" s="29" t="s">
        <v>2032</v>
      </c>
      <c r="T938" s="29"/>
      <c r="U938" s="29"/>
      <c r="V938" s="29"/>
      <c r="W938" s="30" t="s">
        <v>2032</v>
      </c>
      <c r="X938" s="29" t="s">
        <v>2032</v>
      </c>
      <c r="Y938" s="29"/>
      <c r="Z938" s="29"/>
      <c r="AA938" s="29"/>
      <c r="AB938" s="27" t="s">
        <v>2056</v>
      </c>
      <c r="AC938" s="27"/>
      <c r="AD938" s="27"/>
      <c r="AE938" s="31">
        <f>879</f>
        <v>879</v>
      </c>
      <c r="AF938" s="31"/>
      <c r="AG938" s="31"/>
    </row>
    <row r="939" spans="1:33" s="1" customFormat="1" ht="33" customHeight="1">
      <c r="A939" s="24" t="s">
        <v>1095</v>
      </c>
      <c r="B939" s="25" t="s">
        <v>1096</v>
      </c>
      <c r="C939" s="25"/>
      <c r="D939" s="25"/>
      <c r="E939" s="26" t="s">
        <v>1097</v>
      </c>
      <c r="F939" s="26"/>
      <c r="G939" s="26"/>
      <c r="H939" s="26"/>
      <c r="I939" s="26"/>
      <c r="J939" s="27" t="s">
        <v>2056</v>
      </c>
      <c r="K939" s="27"/>
      <c r="L939" s="27"/>
      <c r="M939" s="27"/>
      <c r="N939" s="28">
        <f>1657.5</f>
        <v>1657.5</v>
      </c>
      <c r="O939" s="28"/>
      <c r="P939" s="28"/>
      <c r="Q939" s="27" t="s">
        <v>2032</v>
      </c>
      <c r="R939" s="27"/>
      <c r="S939" s="29" t="s">
        <v>2032</v>
      </c>
      <c r="T939" s="29"/>
      <c r="U939" s="29"/>
      <c r="V939" s="29"/>
      <c r="W939" s="30" t="s">
        <v>2032</v>
      </c>
      <c r="X939" s="29" t="s">
        <v>2032</v>
      </c>
      <c r="Y939" s="29"/>
      <c r="Z939" s="29"/>
      <c r="AA939" s="29"/>
      <c r="AB939" s="27" t="s">
        <v>2056</v>
      </c>
      <c r="AC939" s="27"/>
      <c r="AD939" s="27"/>
      <c r="AE939" s="31">
        <f>1657.5</f>
        <v>1657.5</v>
      </c>
      <c r="AF939" s="31"/>
      <c r="AG939" s="31"/>
    </row>
    <row r="940" spans="1:33" s="1" customFormat="1" ht="33" customHeight="1">
      <c r="A940" s="24" t="s">
        <v>1098</v>
      </c>
      <c r="B940" s="25" t="s">
        <v>1099</v>
      </c>
      <c r="C940" s="25"/>
      <c r="D940" s="25"/>
      <c r="E940" s="26" t="s">
        <v>1100</v>
      </c>
      <c r="F940" s="26"/>
      <c r="G940" s="26"/>
      <c r="H940" s="26"/>
      <c r="I940" s="26"/>
      <c r="J940" s="27" t="s">
        <v>2056</v>
      </c>
      <c r="K940" s="27"/>
      <c r="L940" s="27"/>
      <c r="M940" s="27"/>
      <c r="N940" s="28">
        <f>1710</f>
        <v>1710</v>
      </c>
      <c r="O940" s="28"/>
      <c r="P940" s="28"/>
      <c r="Q940" s="27" t="s">
        <v>2032</v>
      </c>
      <c r="R940" s="27"/>
      <c r="S940" s="29" t="s">
        <v>2032</v>
      </c>
      <c r="T940" s="29"/>
      <c r="U940" s="29"/>
      <c r="V940" s="29"/>
      <c r="W940" s="30" t="s">
        <v>2032</v>
      </c>
      <c r="X940" s="29" t="s">
        <v>2032</v>
      </c>
      <c r="Y940" s="29"/>
      <c r="Z940" s="29"/>
      <c r="AA940" s="29"/>
      <c r="AB940" s="27" t="s">
        <v>2056</v>
      </c>
      <c r="AC940" s="27"/>
      <c r="AD940" s="27"/>
      <c r="AE940" s="31">
        <f>1710</f>
        <v>1710</v>
      </c>
      <c r="AF940" s="31"/>
      <c r="AG940" s="31"/>
    </row>
    <row r="941" spans="1:33" s="1" customFormat="1" ht="33" customHeight="1">
      <c r="A941" s="24" t="s">
        <v>1101</v>
      </c>
      <c r="B941" s="25" t="s">
        <v>1102</v>
      </c>
      <c r="C941" s="25"/>
      <c r="D941" s="25"/>
      <c r="E941" s="26" t="s">
        <v>1103</v>
      </c>
      <c r="F941" s="26"/>
      <c r="G941" s="26"/>
      <c r="H941" s="26"/>
      <c r="I941" s="26"/>
      <c r="J941" s="27" t="s">
        <v>2056</v>
      </c>
      <c r="K941" s="27"/>
      <c r="L941" s="27"/>
      <c r="M941" s="27"/>
      <c r="N941" s="28">
        <f>2947.8</f>
        <v>2947.8</v>
      </c>
      <c r="O941" s="28"/>
      <c r="P941" s="28"/>
      <c r="Q941" s="27" t="s">
        <v>2032</v>
      </c>
      <c r="R941" s="27"/>
      <c r="S941" s="29" t="s">
        <v>2032</v>
      </c>
      <c r="T941" s="29"/>
      <c r="U941" s="29"/>
      <c r="V941" s="29"/>
      <c r="W941" s="30" t="s">
        <v>2032</v>
      </c>
      <c r="X941" s="29" t="s">
        <v>2032</v>
      </c>
      <c r="Y941" s="29"/>
      <c r="Z941" s="29"/>
      <c r="AA941" s="29"/>
      <c r="AB941" s="27" t="s">
        <v>2056</v>
      </c>
      <c r="AC941" s="27"/>
      <c r="AD941" s="27"/>
      <c r="AE941" s="31">
        <f>2947.8</f>
        <v>2947.8</v>
      </c>
      <c r="AF941" s="31"/>
      <c r="AG941" s="31"/>
    </row>
    <row r="942" spans="1:33" s="1" customFormat="1" ht="33" customHeight="1">
      <c r="A942" s="24" t="s">
        <v>1104</v>
      </c>
      <c r="B942" s="25" t="s">
        <v>1105</v>
      </c>
      <c r="C942" s="25"/>
      <c r="D942" s="25"/>
      <c r="E942" s="26" t="s">
        <v>1106</v>
      </c>
      <c r="F942" s="26"/>
      <c r="G942" s="26"/>
      <c r="H942" s="26"/>
      <c r="I942" s="26"/>
      <c r="J942" s="27" t="s">
        <v>2056</v>
      </c>
      <c r="K942" s="27"/>
      <c r="L942" s="27"/>
      <c r="M942" s="27"/>
      <c r="N942" s="28">
        <f>2315.4</f>
        <v>2315.4</v>
      </c>
      <c r="O942" s="28"/>
      <c r="P942" s="28"/>
      <c r="Q942" s="27" t="s">
        <v>2032</v>
      </c>
      <c r="R942" s="27"/>
      <c r="S942" s="29" t="s">
        <v>2032</v>
      </c>
      <c r="T942" s="29"/>
      <c r="U942" s="29"/>
      <c r="V942" s="29"/>
      <c r="W942" s="30" t="s">
        <v>2032</v>
      </c>
      <c r="X942" s="29" t="s">
        <v>2032</v>
      </c>
      <c r="Y942" s="29"/>
      <c r="Z942" s="29"/>
      <c r="AA942" s="29"/>
      <c r="AB942" s="27" t="s">
        <v>2056</v>
      </c>
      <c r="AC942" s="27"/>
      <c r="AD942" s="27"/>
      <c r="AE942" s="31">
        <f>2315.4</f>
        <v>2315.4</v>
      </c>
      <c r="AF942" s="31"/>
      <c r="AG942" s="31"/>
    </row>
    <row r="943" spans="1:33" s="1" customFormat="1" ht="33" customHeight="1">
      <c r="A943" s="24" t="s">
        <v>1107</v>
      </c>
      <c r="B943" s="25" t="s">
        <v>1108</v>
      </c>
      <c r="C943" s="25"/>
      <c r="D943" s="25"/>
      <c r="E943" s="26" t="s">
        <v>1109</v>
      </c>
      <c r="F943" s="26"/>
      <c r="G943" s="26"/>
      <c r="H943" s="26"/>
      <c r="I943" s="26"/>
      <c r="J943" s="27" t="s">
        <v>2056</v>
      </c>
      <c r="K943" s="27"/>
      <c r="L943" s="27"/>
      <c r="M943" s="27"/>
      <c r="N943" s="28">
        <f>2284.8</f>
        <v>2284.8</v>
      </c>
      <c r="O943" s="28"/>
      <c r="P943" s="28"/>
      <c r="Q943" s="27" t="s">
        <v>2032</v>
      </c>
      <c r="R943" s="27"/>
      <c r="S943" s="29" t="s">
        <v>2032</v>
      </c>
      <c r="T943" s="29"/>
      <c r="U943" s="29"/>
      <c r="V943" s="29"/>
      <c r="W943" s="30" t="s">
        <v>2032</v>
      </c>
      <c r="X943" s="29" t="s">
        <v>2032</v>
      </c>
      <c r="Y943" s="29"/>
      <c r="Z943" s="29"/>
      <c r="AA943" s="29"/>
      <c r="AB943" s="27" t="s">
        <v>2056</v>
      </c>
      <c r="AC943" s="27"/>
      <c r="AD943" s="27"/>
      <c r="AE943" s="31">
        <f>2284.8</f>
        <v>2284.8</v>
      </c>
      <c r="AF943" s="31"/>
      <c r="AG943" s="31"/>
    </row>
    <row r="944" spans="1:33" s="1" customFormat="1" ht="33" customHeight="1">
      <c r="A944" s="24" t="s">
        <v>1110</v>
      </c>
      <c r="B944" s="25" t="s">
        <v>1111</v>
      </c>
      <c r="C944" s="25"/>
      <c r="D944" s="25"/>
      <c r="E944" s="26" t="s">
        <v>1112</v>
      </c>
      <c r="F944" s="26"/>
      <c r="G944" s="26"/>
      <c r="H944" s="26"/>
      <c r="I944" s="26"/>
      <c r="J944" s="27" t="s">
        <v>2056</v>
      </c>
      <c r="K944" s="27"/>
      <c r="L944" s="27"/>
      <c r="M944" s="27"/>
      <c r="N944" s="28">
        <f>1458.6</f>
        <v>1458.6</v>
      </c>
      <c r="O944" s="28"/>
      <c r="P944" s="28"/>
      <c r="Q944" s="27" t="s">
        <v>2032</v>
      </c>
      <c r="R944" s="27"/>
      <c r="S944" s="29" t="s">
        <v>2032</v>
      </c>
      <c r="T944" s="29"/>
      <c r="U944" s="29"/>
      <c r="V944" s="29"/>
      <c r="W944" s="30" t="s">
        <v>2032</v>
      </c>
      <c r="X944" s="29" t="s">
        <v>2032</v>
      </c>
      <c r="Y944" s="29"/>
      <c r="Z944" s="29"/>
      <c r="AA944" s="29"/>
      <c r="AB944" s="27" t="s">
        <v>2056</v>
      </c>
      <c r="AC944" s="27"/>
      <c r="AD944" s="27"/>
      <c r="AE944" s="31">
        <f>1458.6</f>
        <v>1458.6</v>
      </c>
      <c r="AF944" s="31"/>
      <c r="AG944" s="31"/>
    </row>
    <row r="945" spans="1:33" s="1" customFormat="1" ht="18.75" customHeight="1">
      <c r="A945" s="24" t="s">
        <v>1113</v>
      </c>
      <c r="B945" s="25" t="s">
        <v>1114</v>
      </c>
      <c r="C945" s="25"/>
      <c r="D945" s="25"/>
      <c r="E945" s="26" t="s">
        <v>1115</v>
      </c>
      <c r="F945" s="26"/>
      <c r="G945" s="26"/>
      <c r="H945" s="26"/>
      <c r="I945" s="26"/>
      <c r="J945" s="27" t="s">
        <v>2056</v>
      </c>
      <c r="K945" s="27"/>
      <c r="L945" s="27"/>
      <c r="M945" s="27"/>
      <c r="N945" s="28">
        <f>1397.4</f>
        <v>1397.4</v>
      </c>
      <c r="O945" s="28"/>
      <c r="P945" s="28"/>
      <c r="Q945" s="27" t="s">
        <v>2032</v>
      </c>
      <c r="R945" s="27"/>
      <c r="S945" s="29" t="s">
        <v>2032</v>
      </c>
      <c r="T945" s="29"/>
      <c r="U945" s="29"/>
      <c r="V945" s="29"/>
      <c r="W945" s="30" t="s">
        <v>2032</v>
      </c>
      <c r="X945" s="29" t="s">
        <v>2032</v>
      </c>
      <c r="Y945" s="29"/>
      <c r="Z945" s="29"/>
      <c r="AA945" s="29"/>
      <c r="AB945" s="27" t="s">
        <v>2056</v>
      </c>
      <c r="AC945" s="27"/>
      <c r="AD945" s="27"/>
      <c r="AE945" s="31">
        <f>1397.4</f>
        <v>1397.4</v>
      </c>
      <c r="AF945" s="31"/>
      <c r="AG945" s="31"/>
    </row>
    <row r="946" spans="1:33" s="1" customFormat="1" ht="33" customHeight="1">
      <c r="A946" s="24" t="s">
        <v>1116</v>
      </c>
      <c r="B946" s="25" t="s">
        <v>1117</v>
      </c>
      <c r="C946" s="25"/>
      <c r="D946" s="25"/>
      <c r="E946" s="26" t="s">
        <v>1118</v>
      </c>
      <c r="F946" s="26"/>
      <c r="G946" s="26"/>
      <c r="H946" s="26"/>
      <c r="I946" s="26"/>
      <c r="J946" s="27" t="s">
        <v>2056</v>
      </c>
      <c r="K946" s="27"/>
      <c r="L946" s="27"/>
      <c r="M946" s="27"/>
      <c r="N946" s="28">
        <f>2422.5</f>
        <v>2422.5</v>
      </c>
      <c r="O946" s="28"/>
      <c r="P946" s="28"/>
      <c r="Q946" s="27" t="s">
        <v>2032</v>
      </c>
      <c r="R946" s="27"/>
      <c r="S946" s="29" t="s">
        <v>2032</v>
      </c>
      <c r="T946" s="29"/>
      <c r="U946" s="29"/>
      <c r="V946" s="29"/>
      <c r="W946" s="30" t="s">
        <v>2032</v>
      </c>
      <c r="X946" s="29" t="s">
        <v>2032</v>
      </c>
      <c r="Y946" s="29"/>
      <c r="Z946" s="29"/>
      <c r="AA946" s="29"/>
      <c r="AB946" s="27" t="s">
        <v>2056</v>
      </c>
      <c r="AC946" s="27"/>
      <c r="AD946" s="27"/>
      <c r="AE946" s="31">
        <f>2422.5</f>
        <v>2422.5</v>
      </c>
      <c r="AF946" s="31"/>
      <c r="AG946" s="31"/>
    </row>
    <row r="947" spans="1:33" s="1" customFormat="1" ht="33" customHeight="1">
      <c r="A947" s="24" t="s">
        <v>1119</v>
      </c>
      <c r="B947" s="25" t="s">
        <v>1120</v>
      </c>
      <c r="C947" s="25"/>
      <c r="D947" s="25"/>
      <c r="E947" s="26" t="s">
        <v>1121</v>
      </c>
      <c r="F947" s="26"/>
      <c r="G947" s="26"/>
      <c r="H947" s="26"/>
      <c r="I947" s="26"/>
      <c r="J947" s="27" t="s">
        <v>2056</v>
      </c>
      <c r="K947" s="27"/>
      <c r="L947" s="27"/>
      <c r="M947" s="27"/>
      <c r="N947" s="28">
        <f>2366.4</f>
        <v>2366.4</v>
      </c>
      <c r="O947" s="28"/>
      <c r="P947" s="28"/>
      <c r="Q947" s="27" t="s">
        <v>2032</v>
      </c>
      <c r="R947" s="27"/>
      <c r="S947" s="29" t="s">
        <v>2032</v>
      </c>
      <c r="T947" s="29"/>
      <c r="U947" s="29"/>
      <c r="V947" s="29"/>
      <c r="W947" s="30" t="s">
        <v>2032</v>
      </c>
      <c r="X947" s="29" t="s">
        <v>2032</v>
      </c>
      <c r="Y947" s="29"/>
      <c r="Z947" s="29"/>
      <c r="AA947" s="29"/>
      <c r="AB947" s="27" t="s">
        <v>2056</v>
      </c>
      <c r="AC947" s="27"/>
      <c r="AD947" s="27"/>
      <c r="AE947" s="31">
        <f>2366.4</f>
        <v>2366.4</v>
      </c>
      <c r="AF947" s="31"/>
      <c r="AG947" s="31"/>
    </row>
    <row r="948" spans="1:33" s="1" customFormat="1" ht="33" customHeight="1">
      <c r="A948" s="24" t="s">
        <v>1122</v>
      </c>
      <c r="B948" s="25" t="s">
        <v>1123</v>
      </c>
      <c r="C948" s="25"/>
      <c r="D948" s="25"/>
      <c r="E948" s="26" t="s">
        <v>1124</v>
      </c>
      <c r="F948" s="26"/>
      <c r="G948" s="26"/>
      <c r="H948" s="26"/>
      <c r="I948" s="26"/>
      <c r="J948" s="27" t="s">
        <v>2056</v>
      </c>
      <c r="K948" s="27"/>
      <c r="L948" s="27"/>
      <c r="M948" s="27"/>
      <c r="N948" s="28">
        <f>1540.2</f>
        <v>1540.2</v>
      </c>
      <c r="O948" s="28"/>
      <c r="P948" s="28"/>
      <c r="Q948" s="27" t="s">
        <v>2032</v>
      </c>
      <c r="R948" s="27"/>
      <c r="S948" s="29" t="s">
        <v>2032</v>
      </c>
      <c r="T948" s="29"/>
      <c r="U948" s="29"/>
      <c r="V948" s="29"/>
      <c r="W948" s="30" t="s">
        <v>2032</v>
      </c>
      <c r="X948" s="29" t="s">
        <v>2032</v>
      </c>
      <c r="Y948" s="29"/>
      <c r="Z948" s="29"/>
      <c r="AA948" s="29"/>
      <c r="AB948" s="27" t="s">
        <v>2056</v>
      </c>
      <c r="AC948" s="27"/>
      <c r="AD948" s="27"/>
      <c r="AE948" s="31">
        <f>1540.2</f>
        <v>1540.2</v>
      </c>
      <c r="AF948" s="31"/>
      <c r="AG948" s="31"/>
    </row>
    <row r="949" spans="1:33" s="1" customFormat="1" ht="33" customHeight="1">
      <c r="A949" s="24" t="s">
        <v>1125</v>
      </c>
      <c r="B949" s="25" t="s">
        <v>1126</v>
      </c>
      <c r="C949" s="25"/>
      <c r="D949" s="25"/>
      <c r="E949" s="26" t="s">
        <v>1127</v>
      </c>
      <c r="F949" s="26"/>
      <c r="G949" s="26"/>
      <c r="H949" s="26"/>
      <c r="I949" s="26"/>
      <c r="J949" s="27" t="s">
        <v>2056</v>
      </c>
      <c r="K949" s="27"/>
      <c r="L949" s="27"/>
      <c r="M949" s="27"/>
      <c r="N949" s="28">
        <f>2529.6</f>
        <v>2529.6</v>
      </c>
      <c r="O949" s="28"/>
      <c r="P949" s="28"/>
      <c r="Q949" s="27" t="s">
        <v>2032</v>
      </c>
      <c r="R949" s="27"/>
      <c r="S949" s="29" t="s">
        <v>2032</v>
      </c>
      <c r="T949" s="29"/>
      <c r="U949" s="29"/>
      <c r="V949" s="29"/>
      <c r="W949" s="30" t="s">
        <v>2032</v>
      </c>
      <c r="X949" s="29" t="s">
        <v>2032</v>
      </c>
      <c r="Y949" s="29"/>
      <c r="Z949" s="29"/>
      <c r="AA949" s="29"/>
      <c r="AB949" s="27" t="s">
        <v>2056</v>
      </c>
      <c r="AC949" s="27"/>
      <c r="AD949" s="27"/>
      <c r="AE949" s="31">
        <f>2529.6</f>
        <v>2529.6</v>
      </c>
      <c r="AF949" s="31"/>
      <c r="AG949" s="31"/>
    </row>
    <row r="950" spans="1:33" s="1" customFormat="1" ht="18.75" customHeight="1">
      <c r="A950" s="24" t="s">
        <v>1128</v>
      </c>
      <c r="B950" s="25" t="s">
        <v>1129</v>
      </c>
      <c r="C950" s="25"/>
      <c r="D950" s="25"/>
      <c r="E950" s="26" t="s">
        <v>1130</v>
      </c>
      <c r="F950" s="26"/>
      <c r="G950" s="26"/>
      <c r="H950" s="26"/>
      <c r="I950" s="26"/>
      <c r="J950" s="27" t="s">
        <v>2056</v>
      </c>
      <c r="K950" s="27"/>
      <c r="L950" s="27"/>
      <c r="M950" s="27"/>
      <c r="N950" s="28">
        <f>408</f>
        <v>408</v>
      </c>
      <c r="O950" s="28"/>
      <c r="P950" s="28"/>
      <c r="Q950" s="27" t="s">
        <v>2032</v>
      </c>
      <c r="R950" s="27"/>
      <c r="S950" s="29" t="s">
        <v>2032</v>
      </c>
      <c r="T950" s="29"/>
      <c r="U950" s="29"/>
      <c r="V950" s="29"/>
      <c r="W950" s="30" t="s">
        <v>2032</v>
      </c>
      <c r="X950" s="29" t="s">
        <v>2032</v>
      </c>
      <c r="Y950" s="29"/>
      <c r="Z950" s="29"/>
      <c r="AA950" s="29"/>
      <c r="AB950" s="27" t="s">
        <v>2056</v>
      </c>
      <c r="AC950" s="27"/>
      <c r="AD950" s="27"/>
      <c r="AE950" s="31">
        <f>408</f>
        <v>408</v>
      </c>
      <c r="AF950" s="31"/>
      <c r="AG950" s="31"/>
    </row>
    <row r="951" spans="1:33" s="1" customFormat="1" ht="33" customHeight="1">
      <c r="A951" s="24" t="s">
        <v>1131</v>
      </c>
      <c r="B951" s="25" t="s">
        <v>1132</v>
      </c>
      <c r="C951" s="25"/>
      <c r="D951" s="25"/>
      <c r="E951" s="26" t="s">
        <v>1133</v>
      </c>
      <c r="F951" s="26"/>
      <c r="G951" s="26"/>
      <c r="H951" s="26"/>
      <c r="I951" s="26"/>
      <c r="J951" s="27" t="s">
        <v>2056</v>
      </c>
      <c r="K951" s="27"/>
      <c r="L951" s="27"/>
      <c r="M951" s="27"/>
      <c r="N951" s="28">
        <f>1458.6</f>
        <v>1458.6</v>
      </c>
      <c r="O951" s="28"/>
      <c r="P951" s="28"/>
      <c r="Q951" s="27" t="s">
        <v>2032</v>
      </c>
      <c r="R951" s="27"/>
      <c r="S951" s="29" t="s">
        <v>2032</v>
      </c>
      <c r="T951" s="29"/>
      <c r="U951" s="29"/>
      <c r="V951" s="29"/>
      <c r="W951" s="30" t="s">
        <v>2032</v>
      </c>
      <c r="X951" s="29" t="s">
        <v>2032</v>
      </c>
      <c r="Y951" s="29"/>
      <c r="Z951" s="29"/>
      <c r="AA951" s="29"/>
      <c r="AB951" s="27" t="s">
        <v>2056</v>
      </c>
      <c r="AC951" s="27"/>
      <c r="AD951" s="27"/>
      <c r="AE951" s="31">
        <f>1458.6</f>
        <v>1458.6</v>
      </c>
      <c r="AF951" s="31"/>
      <c r="AG951" s="31"/>
    </row>
    <row r="952" spans="1:33" s="1" customFormat="1" ht="33" customHeight="1">
      <c r="A952" s="24" t="s">
        <v>1134</v>
      </c>
      <c r="B952" s="25" t="s">
        <v>1135</v>
      </c>
      <c r="C952" s="25"/>
      <c r="D952" s="25"/>
      <c r="E952" s="26" t="s">
        <v>1136</v>
      </c>
      <c r="F952" s="26"/>
      <c r="G952" s="26"/>
      <c r="H952" s="26"/>
      <c r="I952" s="26"/>
      <c r="J952" s="27" t="s">
        <v>2056</v>
      </c>
      <c r="K952" s="27"/>
      <c r="L952" s="27"/>
      <c r="M952" s="27"/>
      <c r="N952" s="28">
        <f>2621.4</f>
        <v>2621.4</v>
      </c>
      <c r="O952" s="28"/>
      <c r="P952" s="28"/>
      <c r="Q952" s="27" t="s">
        <v>2032</v>
      </c>
      <c r="R952" s="27"/>
      <c r="S952" s="29" t="s">
        <v>2032</v>
      </c>
      <c r="T952" s="29"/>
      <c r="U952" s="29"/>
      <c r="V952" s="29"/>
      <c r="W952" s="30" t="s">
        <v>2032</v>
      </c>
      <c r="X952" s="29" t="s">
        <v>2032</v>
      </c>
      <c r="Y952" s="29"/>
      <c r="Z952" s="29"/>
      <c r="AA952" s="29"/>
      <c r="AB952" s="27" t="s">
        <v>2056</v>
      </c>
      <c r="AC952" s="27"/>
      <c r="AD952" s="27"/>
      <c r="AE952" s="31">
        <f>2621.4</f>
        <v>2621.4</v>
      </c>
      <c r="AF952" s="31"/>
      <c r="AG952" s="31"/>
    </row>
    <row r="953" spans="1:33" s="1" customFormat="1" ht="33" customHeight="1">
      <c r="A953" s="24" t="s">
        <v>1137</v>
      </c>
      <c r="B953" s="25" t="s">
        <v>1138</v>
      </c>
      <c r="C953" s="25"/>
      <c r="D953" s="25"/>
      <c r="E953" s="26" t="s">
        <v>1139</v>
      </c>
      <c r="F953" s="26"/>
      <c r="G953" s="26"/>
      <c r="H953" s="26"/>
      <c r="I953" s="26"/>
      <c r="J953" s="27" t="s">
        <v>2056</v>
      </c>
      <c r="K953" s="27"/>
      <c r="L953" s="27"/>
      <c r="M953" s="27"/>
      <c r="N953" s="28">
        <f>2601</f>
        <v>2601</v>
      </c>
      <c r="O953" s="28"/>
      <c r="P953" s="28"/>
      <c r="Q953" s="27" t="s">
        <v>2032</v>
      </c>
      <c r="R953" s="27"/>
      <c r="S953" s="29" t="s">
        <v>2032</v>
      </c>
      <c r="T953" s="29"/>
      <c r="U953" s="29"/>
      <c r="V953" s="29"/>
      <c r="W953" s="30" t="s">
        <v>2032</v>
      </c>
      <c r="X953" s="29" t="s">
        <v>2032</v>
      </c>
      <c r="Y953" s="29"/>
      <c r="Z953" s="29"/>
      <c r="AA953" s="29"/>
      <c r="AB953" s="27" t="s">
        <v>2056</v>
      </c>
      <c r="AC953" s="27"/>
      <c r="AD953" s="27"/>
      <c r="AE953" s="31">
        <f>2601</f>
        <v>2601</v>
      </c>
      <c r="AF953" s="31"/>
      <c r="AG953" s="31"/>
    </row>
    <row r="954" spans="1:33" s="1" customFormat="1" ht="18.75" customHeight="1">
      <c r="A954" s="24" t="s">
        <v>1140</v>
      </c>
      <c r="B954" s="25" t="s">
        <v>1141</v>
      </c>
      <c r="C954" s="25"/>
      <c r="D954" s="25"/>
      <c r="E954" s="26" t="s">
        <v>1142</v>
      </c>
      <c r="F954" s="26"/>
      <c r="G954" s="26"/>
      <c r="H954" s="26"/>
      <c r="I954" s="26"/>
      <c r="J954" s="27" t="s">
        <v>2056</v>
      </c>
      <c r="K954" s="27"/>
      <c r="L954" s="27"/>
      <c r="M954" s="27"/>
      <c r="N954" s="28">
        <f>1224</f>
        <v>1224</v>
      </c>
      <c r="O954" s="28"/>
      <c r="P954" s="28"/>
      <c r="Q954" s="27" t="s">
        <v>2032</v>
      </c>
      <c r="R954" s="27"/>
      <c r="S954" s="29" t="s">
        <v>2032</v>
      </c>
      <c r="T954" s="29"/>
      <c r="U954" s="29"/>
      <c r="V954" s="29"/>
      <c r="W954" s="30" t="s">
        <v>2032</v>
      </c>
      <c r="X954" s="29" t="s">
        <v>2032</v>
      </c>
      <c r="Y954" s="29"/>
      <c r="Z954" s="29"/>
      <c r="AA954" s="29"/>
      <c r="AB954" s="27" t="s">
        <v>2056</v>
      </c>
      <c r="AC954" s="27"/>
      <c r="AD954" s="27"/>
      <c r="AE954" s="31">
        <f>1224</f>
        <v>1224</v>
      </c>
      <c r="AF954" s="31"/>
      <c r="AG954" s="31"/>
    </row>
    <row r="955" spans="1:33" s="1" customFormat="1" ht="33" customHeight="1">
      <c r="A955" s="24" t="s">
        <v>1143</v>
      </c>
      <c r="B955" s="25" t="s">
        <v>1144</v>
      </c>
      <c r="C955" s="25"/>
      <c r="D955" s="25"/>
      <c r="E955" s="26" t="s">
        <v>1145</v>
      </c>
      <c r="F955" s="26"/>
      <c r="G955" s="26"/>
      <c r="H955" s="26"/>
      <c r="I955" s="26"/>
      <c r="J955" s="27" t="s">
        <v>2056</v>
      </c>
      <c r="K955" s="27"/>
      <c r="L955" s="27"/>
      <c r="M955" s="27"/>
      <c r="N955" s="28">
        <f>1861.5</f>
        <v>1861.5</v>
      </c>
      <c r="O955" s="28"/>
      <c r="P955" s="28"/>
      <c r="Q955" s="27" t="s">
        <v>2032</v>
      </c>
      <c r="R955" s="27"/>
      <c r="S955" s="29" t="s">
        <v>2032</v>
      </c>
      <c r="T955" s="29"/>
      <c r="U955" s="29"/>
      <c r="V955" s="29"/>
      <c r="W955" s="30" t="s">
        <v>2032</v>
      </c>
      <c r="X955" s="29" t="s">
        <v>2032</v>
      </c>
      <c r="Y955" s="29"/>
      <c r="Z955" s="29"/>
      <c r="AA955" s="29"/>
      <c r="AB955" s="27" t="s">
        <v>2056</v>
      </c>
      <c r="AC955" s="27"/>
      <c r="AD955" s="27"/>
      <c r="AE955" s="31">
        <f>1861.5</f>
        <v>1861.5</v>
      </c>
      <c r="AF955" s="31"/>
      <c r="AG955" s="31"/>
    </row>
    <row r="956" spans="1:33" s="1" customFormat="1" ht="33" customHeight="1">
      <c r="A956" s="24" t="s">
        <v>1146</v>
      </c>
      <c r="B956" s="25" t="s">
        <v>1147</v>
      </c>
      <c r="C956" s="25"/>
      <c r="D956" s="25"/>
      <c r="E956" s="26" t="s">
        <v>1148</v>
      </c>
      <c r="F956" s="26"/>
      <c r="G956" s="26"/>
      <c r="H956" s="26"/>
      <c r="I956" s="26"/>
      <c r="J956" s="27" t="s">
        <v>2056</v>
      </c>
      <c r="K956" s="27"/>
      <c r="L956" s="27"/>
      <c r="M956" s="27"/>
      <c r="N956" s="28">
        <f>2499</f>
        <v>2499</v>
      </c>
      <c r="O956" s="28"/>
      <c r="P956" s="28"/>
      <c r="Q956" s="27" t="s">
        <v>2032</v>
      </c>
      <c r="R956" s="27"/>
      <c r="S956" s="29" t="s">
        <v>2032</v>
      </c>
      <c r="T956" s="29"/>
      <c r="U956" s="29"/>
      <c r="V956" s="29"/>
      <c r="W956" s="30" t="s">
        <v>2032</v>
      </c>
      <c r="X956" s="29" t="s">
        <v>2032</v>
      </c>
      <c r="Y956" s="29"/>
      <c r="Z956" s="29"/>
      <c r="AA956" s="29"/>
      <c r="AB956" s="27" t="s">
        <v>2056</v>
      </c>
      <c r="AC956" s="27"/>
      <c r="AD956" s="27"/>
      <c r="AE956" s="31">
        <f>2499</f>
        <v>2499</v>
      </c>
      <c r="AF956" s="31"/>
      <c r="AG956" s="31"/>
    </row>
    <row r="957" spans="1:33" s="1" customFormat="1" ht="33" customHeight="1">
      <c r="A957" s="24" t="s">
        <v>1149</v>
      </c>
      <c r="B957" s="25" t="s">
        <v>1150</v>
      </c>
      <c r="C957" s="25"/>
      <c r="D957" s="25"/>
      <c r="E957" s="26" t="s">
        <v>1151</v>
      </c>
      <c r="F957" s="26"/>
      <c r="G957" s="26"/>
      <c r="H957" s="26"/>
      <c r="I957" s="26"/>
      <c r="J957" s="27" t="s">
        <v>2056</v>
      </c>
      <c r="K957" s="27"/>
      <c r="L957" s="27"/>
      <c r="M957" s="27"/>
      <c r="N957" s="28">
        <f>2346</f>
        <v>2346</v>
      </c>
      <c r="O957" s="28"/>
      <c r="P957" s="28"/>
      <c r="Q957" s="27" t="s">
        <v>2032</v>
      </c>
      <c r="R957" s="27"/>
      <c r="S957" s="29" t="s">
        <v>2032</v>
      </c>
      <c r="T957" s="29"/>
      <c r="U957" s="29"/>
      <c r="V957" s="29"/>
      <c r="W957" s="30" t="s">
        <v>2032</v>
      </c>
      <c r="X957" s="29" t="s">
        <v>2032</v>
      </c>
      <c r="Y957" s="29"/>
      <c r="Z957" s="29"/>
      <c r="AA957" s="29"/>
      <c r="AB957" s="27" t="s">
        <v>2056</v>
      </c>
      <c r="AC957" s="27"/>
      <c r="AD957" s="27"/>
      <c r="AE957" s="31">
        <f>2346</f>
        <v>2346</v>
      </c>
      <c r="AF957" s="31"/>
      <c r="AG957" s="31"/>
    </row>
    <row r="958" spans="1:33" s="1" customFormat="1" ht="33" customHeight="1">
      <c r="A958" s="24" t="s">
        <v>1152</v>
      </c>
      <c r="B958" s="25" t="s">
        <v>1153</v>
      </c>
      <c r="C958" s="25"/>
      <c r="D958" s="25"/>
      <c r="E958" s="26" t="s">
        <v>1154</v>
      </c>
      <c r="F958" s="26"/>
      <c r="G958" s="26"/>
      <c r="H958" s="26"/>
      <c r="I958" s="26"/>
      <c r="J958" s="27" t="s">
        <v>2056</v>
      </c>
      <c r="K958" s="27"/>
      <c r="L958" s="27"/>
      <c r="M958" s="27"/>
      <c r="N958" s="28">
        <f>1800.3</f>
        <v>1800.3</v>
      </c>
      <c r="O958" s="28"/>
      <c r="P958" s="28"/>
      <c r="Q958" s="27" t="s">
        <v>2032</v>
      </c>
      <c r="R958" s="27"/>
      <c r="S958" s="29" t="s">
        <v>2032</v>
      </c>
      <c r="T958" s="29"/>
      <c r="U958" s="29"/>
      <c r="V958" s="29"/>
      <c r="W958" s="30" t="s">
        <v>2032</v>
      </c>
      <c r="X958" s="29" t="s">
        <v>2032</v>
      </c>
      <c r="Y958" s="29"/>
      <c r="Z958" s="29"/>
      <c r="AA958" s="29"/>
      <c r="AB958" s="27" t="s">
        <v>2056</v>
      </c>
      <c r="AC958" s="27"/>
      <c r="AD958" s="27"/>
      <c r="AE958" s="31">
        <f>1800.3</f>
        <v>1800.3</v>
      </c>
      <c r="AF958" s="31"/>
      <c r="AG958" s="31"/>
    </row>
    <row r="959" spans="1:33" s="1" customFormat="1" ht="18.75" customHeight="1">
      <c r="A959" s="24" t="s">
        <v>1155</v>
      </c>
      <c r="B959" s="25" t="s">
        <v>1156</v>
      </c>
      <c r="C959" s="25"/>
      <c r="D959" s="25"/>
      <c r="E959" s="26" t="s">
        <v>1157</v>
      </c>
      <c r="F959" s="26"/>
      <c r="G959" s="26"/>
      <c r="H959" s="26"/>
      <c r="I959" s="26"/>
      <c r="J959" s="27" t="s">
        <v>2056</v>
      </c>
      <c r="K959" s="27"/>
      <c r="L959" s="27"/>
      <c r="M959" s="27"/>
      <c r="N959" s="28">
        <f>2682.6</f>
        <v>2682.6</v>
      </c>
      <c r="O959" s="28"/>
      <c r="P959" s="28"/>
      <c r="Q959" s="27" t="s">
        <v>2032</v>
      </c>
      <c r="R959" s="27"/>
      <c r="S959" s="29" t="s">
        <v>2032</v>
      </c>
      <c r="T959" s="29"/>
      <c r="U959" s="29"/>
      <c r="V959" s="29"/>
      <c r="W959" s="30" t="s">
        <v>2032</v>
      </c>
      <c r="X959" s="29" t="s">
        <v>2032</v>
      </c>
      <c r="Y959" s="29"/>
      <c r="Z959" s="29"/>
      <c r="AA959" s="29"/>
      <c r="AB959" s="27" t="s">
        <v>2056</v>
      </c>
      <c r="AC959" s="27"/>
      <c r="AD959" s="27"/>
      <c r="AE959" s="31">
        <f>2682.6</f>
        <v>2682.6</v>
      </c>
      <c r="AF959" s="31"/>
      <c r="AG959" s="31"/>
    </row>
    <row r="960" spans="1:33" s="1" customFormat="1" ht="33" customHeight="1">
      <c r="A960" s="24" t="s">
        <v>1158</v>
      </c>
      <c r="B960" s="25" t="s">
        <v>1159</v>
      </c>
      <c r="C960" s="25"/>
      <c r="D960" s="25"/>
      <c r="E960" s="26" t="s">
        <v>1160</v>
      </c>
      <c r="F960" s="26"/>
      <c r="G960" s="26"/>
      <c r="H960" s="26"/>
      <c r="I960" s="26"/>
      <c r="J960" s="27" t="s">
        <v>2056</v>
      </c>
      <c r="K960" s="27"/>
      <c r="L960" s="27"/>
      <c r="M960" s="27"/>
      <c r="N960" s="28">
        <f>2315.4</f>
        <v>2315.4</v>
      </c>
      <c r="O960" s="28"/>
      <c r="P960" s="28"/>
      <c r="Q960" s="27" t="s">
        <v>2032</v>
      </c>
      <c r="R960" s="27"/>
      <c r="S960" s="29" t="s">
        <v>2032</v>
      </c>
      <c r="T960" s="29"/>
      <c r="U960" s="29"/>
      <c r="V960" s="29"/>
      <c r="W960" s="30" t="s">
        <v>2032</v>
      </c>
      <c r="X960" s="29" t="s">
        <v>2032</v>
      </c>
      <c r="Y960" s="29"/>
      <c r="Z960" s="29"/>
      <c r="AA960" s="29"/>
      <c r="AB960" s="27" t="s">
        <v>2056</v>
      </c>
      <c r="AC960" s="27"/>
      <c r="AD960" s="27"/>
      <c r="AE960" s="31">
        <f>2315.4</f>
        <v>2315.4</v>
      </c>
      <c r="AF960" s="31"/>
      <c r="AG960" s="31"/>
    </row>
    <row r="961" spans="1:33" s="1" customFormat="1" ht="33" customHeight="1">
      <c r="A961" s="24" t="s">
        <v>1161</v>
      </c>
      <c r="B961" s="25" t="s">
        <v>1162</v>
      </c>
      <c r="C961" s="25"/>
      <c r="D961" s="25"/>
      <c r="E961" s="26" t="s">
        <v>1163</v>
      </c>
      <c r="F961" s="26"/>
      <c r="G961" s="26"/>
      <c r="H961" s="26"/>
      <c r="I961" s="26"/>
      <c r="J961" s="27" t="s">
        <v>2056</v>
      </c>
      <c r="K961" s="27"/>
      <c r="L961" s="27"/>
      <c r="M961" s="27"/>
      <c r="N961" s="28">
        <f>1140</f>
        <v>1140</v>
      </c>
      <c r="O961" s="28"/>
      <c r="P961" s="28"/>
      <c r="Q961" s="27" t="s">
        <v>2032</v>
      </c>
      <c r="R961" s="27"/>
      <c r="S961" s="29" t="s">
        <v>2032</v>
      </c>
      <c r="T961" s="29"/>
      <c r="U961" s="29"/>
      <c r="V961" s="29"/>
      <c r="W961" s="30" t="s">
        <v>2032</v>
      </c>
      <c r="X961" s="29" t="s">
        <v>2032</v>
      </c>
      <c r="Y961" s="29"/>
      <c r="Z961" s="29"/>
      <c r="AA961" s="29"/>
      <c r="AB961" s="27" t="s">
        <v>2056</v>
      </c>
      <c r="AC961" s="27"/>
      <c r="AD961" s="27"/>
      <c r="AE961" s="31">
        <f>1140</f>
        <v>1140</v>
      </c>
      <c r="AF961" s="31"/>
      <c r="AG961" s="31"/>
    </row>
    <row r="962" spans="1:33" s="1" customFormat="1" ht="18.75" customHeight="1">
      <c r="A962" s="24" t="s">
        <v>1164</v>
      </c>
      <c r="B962" s="25" t="s">
        <v>1165</v>
      </c>
      <c r="C962" s="25"/>
      <c r="D962" s="25"/>
      <c r="E962" s="26" t="s">
        <v>1166</v>
      </c>
      <c r="F962" s="26"/>
      <c r="G962" s="26"/>
      <c r="H962" s="26"/>
      <c r="I962" s="26"/>
      <c r="J962" s="27" t="s">
        <v>2061</v>
      </c>
      <c r="K962" s="27"/>
      <c r="L962" s="27"/>
      <c r="M962" s="27"/>
      <c r="N962" s="28">
        <f>3540</f>
        <v>3540</v>
      </c>
      <c r="O962" s="28"/>
      <c r="P962" s="28"/>
      <c r="Q962" s="27" t="s">
        <v>2032</v>
      </c>
      <c r="R962" s="27"/>
      <c r="S962" s="29" t="s">
        <v>2032</v>
      </c>
      <c r="T962" s="29"/>
      <c r="U962" s="29"/>
      <c r="V962" s="29"/>
      <c r="W962" s="30" t="s">
        <v>2032</v>
      </c>
      <c r="X962" s="29" t="s">
        <v>2032</v>
      </c>
      <c r="Y962" s="29"/>
      <c r="Z962" s="29"/>
      <c r="AA962" s="29"/>
      <c r="AB962" s="27" t="s">
        <v>2061</v>
      </c>
      <c r="AC962" s="27"/>
      <c r="AD962" s="27"/>
      <c r="AE962" s="31">
        <f>3540</f>
        <v>3540</v>
      </c>
      <c r="AF962" s="31"/>
      <c r="AG962" s="31"/>
    </row>
    <row r="963" spans="1:33" s="1" customFormat="1" ht="33" customHeight="1">
      <c r="A963" s="24" t="s">
        <v>1167</v>
      </c>
      <c r="B963" s="25" t="s">
        <v>1168</v>
      </c>
      <c r="C963" s="25"/>
      <c r="D963" s="25"/>
      <c r="E963" s="26" t="s">
        <v>1169</v>
      </c>
      <c r="F963" s="26"/>
      <c r="G963" s="26"/>
      <c r="H963" s="26"/>
      <c r="I963" s="26"/>
      <c r="J963" s="27" t="s">
        <v>2056</v>
      </c>
      <c r="K963" s="27"/>
      <c r="L963" s="27"/>
      <c r="M963" s="27"/>
      <c r="N963" s="28">
        <f>2958</f>
        <v>2958</v>
      </c>
      <c r="O963" s="28"/>
      <c r="P963" s="28"/>
      <c r="Q963" s="27" t="s">
        <v>2032</v>
      </c>
      <c r="R963" s="27"/>
      <c r="S963" s="29" t="s">
        <v>2032</v>
      </c>
      <c r="T963" s="29"/>
      <c r="U963" s="29"/>
      <c r="V963" s="29"/>
      <c r="W963" s="30" t="s">
        <v>2032</v>
      </c>
      <c r="X963" s="29" t="s">
        <v>2032</v>
      </c>
      <c r="Y963" s="29"/>
      <c r="Z963" s="29"/>
      <c r="AA963" s="29"/>
      <c r="AB963" s="27" t="s">
        <v>2056</v>
      </c>
      <c r="AC963" s="27"/>
      <c r="AD963" s="27"/>
      <c r="AE963" s="31">
        <f>2958</f>
        <v>2958</v>
      </c>
      <c r="AF963" s="31"/>
      <c r="AG963" s="31"/>
    </row>
    <row r="964" spans="1:33" s="1" customFormat="1" ht="33" customHeight="1">
      <c r="A964" s="24" t="s">
        <v>1170</v>
      </c>
      <c r="B964" s="25" t="s">
        <v>1171</v>
      </c>
      <c r="C964" s="25"/>
      <c r="D964" s="25"/>
      <c r="E964" s="26" t="s">
        <v>1172</v>
      </c>
      <c r="F964" s="26"/>
      <c r="G964" s="26"/>
      <c r="H964" s="26"/>
      <c r="I964" s="26"/>
      <c r="J964" s="27" t="s">
        <v>2056</v>
      </c>
      <c r="K964" s="27"/>
      <c r="L964" s="27"/>
      <c r="M964" s="27"/>
      <c r="N964" s="28">
        <f>1734</f>
        <v>1734</v>
      </c>
      <c r="O964" s="28"/>
      <c r="P964" s="28"/>
      <c r="Q964" s="27" t="s">
        <v>2032</v>
      </c>
      <c r="R964" s="27"/>
      <c r="S964" s="29" t="s">
        <v>2032</v>
      </c>
      <c r="T964" s="29"/>
      <c r="U964" s="29"/>
      <c r="V964" s="29"/>
      <c r="W964" s="30" t="s">
        <v>2032</v>
      </c>
      <c r="X964" s="29" t="s">
        <v>2032</v>
      </c>
      <c r="Y964" s="29"/>
      <c r="Z964" s="29"/>
      <c r="AA964" s="29"/>
      <c r="AB964" s="27" t="s">
        <v>2056</v>
      </c>
      <c r="AC964" s="27"/>
      <c r="AD964" s="27"/>
      <c r="AE964" s="31">
        <f>1734</f>
        <v>1734</v>
      </c>
      <c r="AF964" s="31"/>
      <c r="AG964" s="31"/>
    </row>
    <row r="965" spans="1:33" s="1" customFormat="1" ht="18.75" customHeight="1">
      <c r="A965" s="24" t="s">
        <v>1173</v>
      </c>
      <c r="B965" s="25" t="s">
        <v>1174</v>
      </c>
      <c r="C965" s="25"/>
      <c r="D965" s="25"/>
      <c r="E965" s="26" t="s">
        <v>1175</v>
      </c>
      <c r="F965" s="26"/>
      <c r="G965" s="26"/>
      <c r="H965" s="26"/>
      <c r="I965" s="26"/>
      <c r="J965" s="27" t="s">
        <v>2056</v>
      </c>
      <c r="K965" s="27"/>
      <c r="L965" s="27"/>
      <c r="M965" s="27"/>
      <c r="N965" s="28">
        <f>487</f>
        <v>487</v>
      </c>
      <c r="O965" s="28"/>
      <c r="P965" s="28"/>
      <c r="Q965" s="27" t="s">
        <v>2032</v>
      </c>
      <c r="R965" s="27"/>
      <c r="S965" s="29" t="s">
        <v>2032</v>
      </c>
      <c r="T965" s="29"/>
      <c r="U965" s="29"/>
      <c r="V965" s="29"/>
      <c r="W965" s="30" t="s">
        <v>2032</v>
      </c>
      <c r="X965" s="29" t="s">
        <v>2032</v>
      </c>
      <c r="Y965" s="29"/>
      <c r="Z965" s="29"/>
      <c r="AA965" s="29"/>
      <c r="AB965" s="27" t="s">
        <v>2056</v>
      </c>
      <c r="AC965" s="27"/>
      <c r="AD965" s="27"/>
      <c r="AE965" s="31">
        <f>487</f>
        <v>487</v>
      </c>
      <c r="AF965" s="31"/>
      <c r="AG965" s="31"/>
    </row>
    <row r="966" spans="1:33" s="1" customFormat="1" ht="18.75" customHeight="1">
      <c r="A966" s="24" t="s">
        <v>1176</v>
      </c>
      <c r="B966" s="25" t="s">
        <v>1177</v>
      </c>
      <c r="C966" s="25"/>
      <c r="D966" s="25"/>
      <c r="E966" s="26" t="s">
        <v>1178</v>
      </c>
      <c r="F966" s="26"/>
      <c r="G966" s="26"/>
      <c r="H966" s="26"/>
      <c r="I966" s="26"/>
      <c r="J966" s="27" t="s">
        <v>2065</v>
      </c>
      <c r="K966" s="27"/>
      <c r="L966" s="27"/>
      <c r="M966" s="27"/>
      <c r="N966" s="28">
        <f>4100</f>
        <v>4100</v>
      </c>
      <c r="O966" s="28"/>
      <c r="P966" s="28"/>
      <c r="Q966" s="27" t="s">
        <v>2032</v>
      </c>
      <c r="R966" s="27"/>
      <c r="S966" s="29" t="s">
        <v>2032</v>
      </c>
      <c r="T966" s="29"/>
      <c r="U966" s="29"/>
      <c r="V966" s="29"/>
      <c r="W966" s="30" t="s">
        <v>2032</v>
      </c>
      <c r="X966" s="29" t="s">
        <v>2032</v>
      </c>
      <c r="Y966" s="29"/>
      <c r="Z966" s="29"/>
      <c r="AA966" s="29"/>
      <c r="AB966" s="27" t="s">
        <v>2065</v>
      </c>
      <c r="AC966" s="27"/>
      <c r="AD966" s="27"/>
      <c r="AE966" s="31">
        <f>4100</f>
        <v>4100</v>
      </c>
      <c r="AF966" s="31"/>
      <c r="AG966" s="31"/>
    </row>
    <row r="967" spans="1:33" s="1" customFormat="1" ht="33" customHeight="1">
      <c r="A967" s="24" t="s">
        <v>1179</v>
      </c>
      <c r="B967" s="25" t="s">
        <v>1180</v>
      </c>
      <c r="C967" s="25"/>
      <c r="D967" s="25"/>
      <c r="E967" s="26" t="s">
        <v>1181</v>
      </c>
      <c r="F967" s="26"/>
      <c r="G967" s="26"/>
      <c r="H967" s="26"/>
      <c r="I967" s="26"/>
      <c r="J967" s="27" t="s">
        <v>2063</v>
      </c>
      <c r="K967" s="27"/>
      <c r="L967" s="27"/>
      <c r="M967" s="27"/>
      <c r="N967" s="28">
        <f>5840</f>
        <v>5840</v>
      </c>
      <c r="O967" s="28"/>
      <c r="P967" s="28"/>
      <c r="Q967" s="27" t="s">
        <v>2032</v>
      </c>
      <c r="R967" s="27"/>
      <c r="S967" s="29" t="s">
        <v>2032</v>
      </c>
      <c r="T967" s="29"/>
      <c r="U967" s="29"/>
      <c r="V967" s="29"/>
      <c r="W967" s="30" t="s">
        <v>2032</v>
      </c>
      <c r="X967" s="29" t="s">
        <v>2032</v>
      </c>
      <c r="Y967" s="29"/>
      <c r="Z967" s="29"/>
      <c r="AA967" s="29"/>
      <c r="AB967" s="27" t="s">
        <v>2063</v>
      </c>
      <c r="AC967" s="27"/>
      <c r="AD967" s="27"/>
      <c r="AE967" s="31">
        <f>5840</f>
        <v>5840</v>
      </c>
      <c r="AF967" s="31"/>
      <c r="AG967" s="31"/>
    </row>
    <row r="968" spans="1:33" s="1" customFormat="1" ht="33" customHeight="1">
      <c r="A968" s="24" t="s">
        <v>1182</v>
      </c>
      <c r="B968" s="25" t="s">
        <v>1183</v>
      </c>
      <c r="C968" s="25"/>
      <c r="D968" s="25"/>
      <c r="E968" s="26" t="s">
        <v>1184</v>
      </c>
      <c r="F968" s="26"/>
      <c r="G968" s="26"/>
      <c r="H968" s="26"/>
      <c r="I968" s="26"/>
      <c r="J968" s="27" t="s">
        <v>2056</v>
      </c>
      <c r="K968" s="27"/>
      <c r="L968" s="27"/>
      <c r="M968" s="27"/>
      <c r="N968" s="28">
        <f>1470</f>
        <v>1470</v>
      </c>
      <c r="O968" s="28"/>
      <c r="P968" s="28"/>
      <c r="Q968" s="27" t="s">
        <v>2032</v>
      </c>
      <c r="R968" s="27"/>
      <c r="S968" s="29" t="s">
        <v>2032</v>
      </c>
      <c r="T968" s="29"/>
      <c r="U968" s="29"/>
      <c r="V968" s="29"/>
      <c r="W968" s="30" t="s">
        <v>2032</v>
      </c>
      <c r="X968" s="29" t="s">
        <v>2032</v>
      </c>
      <c r="Y968" s="29"/>
      <c r="Z968" s="29"/>
      <c r="AA968" s="29"/>
      <c r="AB968" s="27" t="s">
        <v>2056</v>
      </c>
      <c r="AC968" s="27"/>
      <c r="AD968" s="27"/>
      <c r="AE968" s="31">
        <f>1470</f>
        <v>1470</v>
      </c>
      <c r="AF968" s="31"/>
      <c r="AG968" s="31"/>
    </row>
    <row r="969" spans="1:33" s="1" customFormat="1" ht="33" customHeight="1">
      <c r="A969" s="24" t="s">
        <v>1185</v>
      </c>
      <c r="B969" s="25" t="s">
        <v>1186</v>
      </c>
      <c r="C969" s="25"/>
      <c r="D969" s="25"/>
      <c r="E969" s="26" t="s">
        <v>1187</v>
      </c>
      <c r="F969" s="26"/>
      <c r="G969" s="26"/>
      <c r="H969" s="26"/>
      <c r="I969" s="26"/>
      <c r="J969" s="27" t="s">
        <v>2058</v>
      </c>
      <c r="K969" s="27"/>
      <c r="L969" s="27"/>
      <c r="M969" s="27"/>
      <c r="N969" s="28">
        <f>2680</f>
        <v>2680</v>
      </c>
      <c r="O969" s="28"/>
      <c r="P969" s="28"/>
      <c r="Q969" s="27" t="s">
        <v>2032</v>
      </c>
      <c r="R969" s="27"/>
      <c r="S969" s="29" t="s">
        <v>2032</v>
      </c>
      <c r="T969" s="29"/>
      <c r="U969" s="29"/>
      <c r="V969" s="29"/>
      <c r="W969" s="30" t="s">
        <v>2032</v>
      </c>
      <c r="X969" s="29" t="s">
        <v>2032</v>
      </c>
      <c r="Y969" s="29"/>
      <c r="Z969" s="29"/>
      <c r="AA969" s="29"/>
      <c r="AB969" s="27" t="s">
        <v>2058</v>
      </c>
      <c r="AC969" s="27"/>
      <c r="AD969" s="27"/>
      <c r="AE969" s="31">
        <f>2680</f>
        <v>2680</v>
      </c>
      <c r="AF969" s="31"/>
      <c r="AG969" s="31"/>
    </row>
    <row r="970" spans="1:33" s="1" customFormat="1" ht="33" customHeight="1">
      <c r="A970" s="24" t="s">
        <v>1188</v>
      </c>
      <c r="B970" s="25" t="s">
        <v>1189</v>
      </c>
      <c r="C970" s="25"/>
      <c r="D970" s="25"/>
      <c r="E970" s="26" t="s">
        <v>1190</v>
      </c>
      <c r="F970" s="26"/>
      <c r="G970" s="26"/>
      <c r="H970" s="26"/>
      <c r="I970" s="26"/>
      <c r="J970" s="27" t="s">
        <v>2056</v>
      </c>
      <c r="K970" s="27"/>
      <c r="L970" s="27"/>
      <c r="M970" s="27"/>
      <c r="N970" s="28">
        <f>1680</f>
        <v>1680</v>
      </c>
      <c r="O970" s="28"/>
      <c r="P970" s="28"/>
      <c r="Q970" s="27" t="s">
        <v>2032</v>
      </c>
      <c r="R970" s="27"/>
      <c r="S970" s="29" t="s">
        <v>2032</v>
      </c>
      <c r="T970" s="29"/>
      <c r="U970" s="29"/>
      <c r="V970" s="29"/>
      <c r="W970" s="30" t="s">
        <v>2032</v>
      </c>
      <c r="X970" s="29" t="s">
        <v>2032</v>
      </c>
      <c r="Y970" s="29"/>
      <c r="Z970" s="29"/>
      <c r="AA970" s="29"/>
      <c r="AB970" s="27" t="s">
        <v>2056</v>
      </c>
      <c r="AC970" s="27"/>
      <c r="AD970" s="27"/>
      <c r="AE970" s="31">
        <f>1680</f>
        <v>1680</v>
      </c>
      <c r="AF970" s="31"/>
      <c r="AG970" s="31"/>
    </row>
    <row r="971" spans="1:33" s="1" customFormat="1" ht="33" customHeight="1">
      <c r="A971" s="24" t="s">
        <v>1191</v>
      </c>
      <c r="B971" s="25" t="s">
        <v>1192</v>
      </c>
      <c r="C971" s="25"/>
      <c r="D971" s="25"/>
      <c r="E971" s="26" t="s">
        <v>1193</v>
      </c>
      <c r="F971" s="26"/>
      <c r="G971" s="26"/>
      <c r="H971" s="26"/>
      <c r="I971" s="26"/>
      <c r="J971" s="27" t="s">
        <v>2090</v>
      </c>
      <c r="K971" s="27"/>
      <c r="L971" s="27"/>
      <c r="M971" s="27"/>
      <c r="N971" s="28">
        <f>1820</f>
        <v>1820</v>
      </c>
      <c r="O971" s="28"/>
      <c r="P971" s="28"/>
      <c r="Q971" s="27" t="s">
        <v>2032</v>
      </c>
      <c r="R971" s="27"/>
      <c r="S971" s="29" t="s">
        <v>2032</v>
      </c>
      <c r="T971" s="29"/>
      <c r="U971" s="29"/>
      <c r="V971" s="29"/>
      <c r="W971" s="30" t="s">
        <v>2032</v>
      </c>
      <c r="X971" s="29" t="s">
        <v>2032</v>
      </c>
      <c r="Y971" s="29"/>
      <c r="Z971" s="29"/>
      <c r="AA971" s="29"/>
      <c r="AB971" s="27" t="s">
        <v>2090</v>
      </c>
      <c r="AC971" s="27"/>
      <c r="AD971" s="27"/>
      <c r="AE971" s="31">
        <f>1820</f>
        <v>1820</v>
      </c>
      <c r="AF971" s="31"/>
      <c r="AG971" s="31"/>
    </row>
    <row r="972" spans="1:33" s="1" customFormat="1" ht="33" customHeight="1">
      <c r="A972" s="24" t="s">
        <v>1194</v>
      </c>
      <c r="B972" s="25" t="s">
        <v>1195</v>
      </c>
      <c r="C972" s="25"/>
      <c r="D972" s="25"/>
      <c r="E972" s="26" t="s">
        <v>1196</v>
      </c>
      <c r="F972" s="26"/>
      <c r="G972" s="26"/>
      <c r="H972" s="26"/>
      <c r="I972" s="26"/>
      <c r="J972" s="27" t="s">
        <v>2056</v>
      </c>
      <c r="K972" s="27"/>
      <c r="L972" s="27"/>
      <c r="M972" s="27"/>
      <c r="N972" s="28">
        <f>1650</f>
        <v>1650</v>
      </c>
      <c r="O972" s="28"/>
      <c r="P972" s="28"/>
      <c r="Q972" s="27" t="s">
        <v>2032</v>
      </c>
      <c r="R972" s="27"/>
      <c r="S972" s="29" t="s">
        <v>2032</v>
      </c>
      <c r="T972" s="29"/>
      <c r="U972" s="29"/>
      <c r="V972" s="29"/>
      <c r="W972" s="30" t="s">
        <v>2032</v>
      </c>
      <c r="X972" s="29" t="s">
        <v>2032</v>
      </c>
      <c r="Y972" s="29"/>
      <c r="Z972" s="29"/>
      <c r="AA972" s="29"/>
      <c r="AB972" s="27" t="s">
        <v>2056</v>
      </c>
      <c r="AC972" s="27"/>
      <c r="AD972" s="27"/>
      <c r="AE972" s="31">
        <f>1650</f>
        <v>1650</v>
      </c>
      <c r="AF972" s="31"/>
      <c r="AG972" s="31"/>
    </row>
    <row r="973" spans="1:33" s="1" customFormat="1" ht="33" customHeight="1">
      <c r="A973" s="24" t="s">
        <v>1197</v>
      </c>
      <c r="B973" s="25" t="s">
        <v>1198</v>
      </c>
      <c r="C973" s="25"/>
      <c r="D973" s="25"/>
      <c r="E973" s="26" t="s">
        <v>1196</v>
      </c>
      <c r="F973" s="26"/>
      <c r="G973" s="26"/>
      <c r="H973" s="26"/>
      <c r="I973" s="26"/>
      <c r="J973" s="27" t="s">
        <v>2056</v>
      </c>
      <c r="K973" s="27"/>
      <c r="L973" s="27"/>
      <c r="M973" s="27"/>
      <c r="N973" s="28">
        <f>1650</f>
        <v>1650</v>
      </c>
      <c r="O973" s="28"/>
      <c r="P973" s="28"/>
      <c r="Q973" s="27" t="s">
        <v>2032</v>
      </c>
      <c r="R973" s="27"/>
      <c r="S973" s="29" t="s">
        <v>2032</v>
      </c>
      <c r="T973" s="29"/>
      <c r="U973" s="29"/>
      <c r="V973" s="29"/>
      <c r="W973" s="30" t="s">
        <v>2032</v>
      </c>
      <c r="X973" s="29" t="s">
        <v>2032</v>
      </c>
      <c r="Y973" s="29"/>
      <c r="Z973" s="29"/>
      <c r="AA973" s="29"/>
      <c r="AB973" s="27" t="s">
        <v>2056</v>
      </c>
      <c r="AC973" s="27"/>
      <c r="AD973" s="27"/>
      <c r="AE973" s="31">
        <f>1650</f>
        <v>1650</v>
      </c>
      <c r="AF973" s="31"/>
      <c r="AG973" s="31"/>
    </row>
    <row r="974" spans="1:33" s="1" customFormat="1" ht="33" customHeight="1">
      <c r="A974" s="24" t="s">
        <v>1199</v>
      </c>
      <c r="B974" s="25" t="s">
        <v>1200</v>
      </c>
      <c r="C974" s="25"/>
      <c r="D974" s="25"/>
      <c r="E974" s="26" t="s">
        <v>1196</v>
      </c>
      <c r="F974" s="26"/>
      <c r="G974" s="26"/>
      <c r="H974" s="26"/>
      <c r="I974" s="26"/>
      <c r="J974" s="27" t="s">
        <v>2056</v>
      </c>
      <c r="K974" s="27"/>
      <c r="L974" s="27"/>
      <c r="M974" s="27"/>
      <c r="N974" s="28">
        <f>1650</f>
        <v>1650</v>
      </c>
      <c r="O974" s="28"/>
      <c r="P974" s="28"/>
      <c r="Q974" s="27" t="s">
        <v>2032</v>
      </c>
      <c r="R974" s="27"/>
      <c r="S974" s="29" t="s">
        <v>2032</v>
      </c>
      <c r="T974" s="29"/>
      <c r="U974" s="29"/>
      <c r="V974" s="29"/>
      <c r="W974" s="30" t="s">
        <v>2032</v>
      </c>
      <c r="X974" s="29" t="s">
        <v>2032</v>
      </c>
      <c r="Y974" s="29"/>
      <c r="Z974" s="29"/>
      <c r="AA974" s="29"/>
      <c r="AB974" s="27" t="s">
        <v>2056</v>
      </c>
      <c r="AC974" s="27"/>
      <c r="AD974" s="27"/>
      <c r="AE974" s="31">
        <f>1650</f>
        <v>1650</v>
      </c>
      <c r="AF974" s="31"/>
      <c r="AG974" s="31"/>
    </row>
    <row r="975" spans="1:33" s="1" customFormat="1" ht="33" customHeight="1">
      <c r="A975" s="24" t="s">
        <v>1201</v>
      </c>
      <c r="B975" s="25" t="s">
        <v>1202</v>
      </c>
      <c r="C975" s="25"/>
      <c r="D975" s="25"/>
      <c r="E975" s="26" t="s">
        <v>1196</v>
      </c>
      <c r="F975" s="26"/>
      <c r="G975" s="26"/>
      <c r="H975" s="26"/>
      <c r="I975" s="26"/>
      <c r="J975" s="27" t="s">
        <v>2056</v>
      </c>
      <c r="K975" s="27"/>
      <c r="L975" s="27"/>
      <c r="M975" s="27"/>
      <c r="N975" s="28">
        <f>1650</f>
        <v>1650</v>
      </c>
      <c r="O975" s="28"/>
      <c r="P975" s="28"/>
      <c r="Q975" s="27" t="s">
        <v>2032</v>
      </c>
      <c r="R975" s="27"/>
      <c r="S975" s="29" t="s">
        <v>2032</v>
      </c>
      <c r="T975" s="29"/>
      <c r="U975" s="29"/>
      <c r="V975" s="29"/>
      <c r="W975" s="30" t="s">
        <v>2032</v>
      </c>
      <c r="X975" s="29" t="s">
        <v>2032</v>
      </c>
      <c r="Y975" s="29"/>
      <c r="Z975" s="29"/>
      <c r="AA975" s="29"/>
      <c r="AB975" s="27" t="s">
        <v>2056</v>
      </c>
      <c r="AC975" s="27"/>
      <c r="AD975" s="27"/>
      <c r="AE975" s="31">
        <f>1650</f>
        <v>1650</v>
      </c>
      <c r="AF975" s="31"/>
      <c r="AG975" s="31"/>
    </row>
    <row r="976" spans="1:33" s="1" customFormat="1" ht="33" customHeight="1">
      <c r="A976" s="24" t="s">
        <v>1203</v>
      </c>
      <c r="B976" s="25" t="s">
        <v>1204</v>
      </c>
      <c r="C976" s="25"/>
      <c r="D976" s="25"/>
      <c r="E976" s="26" t="s">
        <v>1196</v>
      </c>
      <c r="F976" s="26"/>
      <c r="G976" s="26"/>
      <c r="H976" s="26"/>
      <c r="I976" s="26"/>
      <c r="J976" s="27" t="s">
        <v>2056</v>
      </c>
      <c r="K976" s="27"/>
      <c r="L976" s="27"/>
      <c r="M976" s="27"/>
      <c r="N976" s="28">
        <f>1650</f>
        <v>1650</v>
      </c>
      <c r="O976" s="28"/>
      <c r="P976" s="28"/>
      <c r="Q976" s="27" t="s">
        <v>2032</v>
      </c>
      <c r="R976" s="27"/>
      <c r="S976" s="29" t="s">
        <v>2032</v>
      </c>
      <c r="T976" s="29"/>
      <c r="U976" s="29"/>
      <c r="V976" s="29"/>
      <c r="W976" s="30" t="s">
        <v>2032</v>
      </c>
      <c r="X976" s="29" t="s">
        <v>2032</v>
      </c>
      <c r="Y976" s="29"/>
      <c r="Z976" s="29"/>
      <c r="AA976" s="29"/>
      <c r="AB976" s="27" t="s">
        <v>2056</v>
      </c>
      <c r="AC976" s="27"/>
      <c r="AD976" s="27"/>
      <c r="AE976" s="31">
        <f>1650</f>
        <v>1650</v>
      </c>
      <c r="AF976" s="31"/>
      <c r="AG976" s="31"/>
    </row>
    <row r="977" spans="1:33" s="1" customFormat="1" ht="33" customHeight="1">
      <c r="A977" s="24" t="s">
        <v>1205</v>
      </c>
      <c r="B977" s="25" t="s">
        <v>1206</v>
      </c>
      <c r="C977" s="25"/>
      <c r="D977" s="25"/>
      <c r="E977" s="26" t="s">
        <v>1196</v>
      </c>
      <c r="F977" s="26"/>
      <c r="G977" s="26"/>
      <c r="H977" s="26"/>
      <c r="I977" s="26"/>
      <c r="J977" s="27" t="s">
        <v>2059</v>
      </c>
      <c r="K977" s="27"/>
      <c r="L977" s="27"/>
      <c r="M977" s="27"/>
      <c r="N977" s="28">
        <f>1440</f>
        <v>1440</v>
      </c>
      <c r="O977" s="28"/>
      <c r="P977" s="28"/>
      <c r="Q977" s="27" t="s">
        <v>2032</v>
      </c>
      <c r="R977" s="27"/>
      <c r="S977" s="29" t="s">
        <v>2032</v>
      </c>
      <c r="T977" s="29"/>
      <c r="U977" s="29"/>
      <c r="V977" s="29"/>
      <c r="W977" s="30" t="s">
        <v>2032</v>
      </c>
      <c r="X977" s="29" t="s">
        <v>2032</v>
      </c>
      <c r="Y977" s="29"/>
      <c r="Z977" s="29"/>
      <c r="AA977" s="29"/>
      <c r="AB977" s="27" t="s">
        <v>2059</v>
      </c>
      <c r="AC977" s="27"/>
      <c r="AD977" s="27"/>
      <c r="AE977" s="31">
        <f>1440</f>
        <v>1440</v>
      </c>
      <c r="AF977" s="31"/>
      <c r="AG977" s="31"/>
    </row>
    <row r="978" spans="1:33" s="1" customFormat="1" ht="33" customHeight="1">
      <c r="A978" s="24" t="s">
        <v>1207</v>
      </c>
      <c r="B978" s="25" t="s">
        <v>1208</v>
      </c>
      <c r="C978" s="25"/>
      <c r="D978" s="25"/>
      <c r="E978" s="26" t="s">
        <v>1209</v>
      </c>
      <c r="F978" s="26"/>
      <c r="G978" s="26"/>
      <c r="H978" s="26"/>
      <c r="I978" s="26"/>
      <c r="J978" s="27" t="s">
        <v>2056</v>
      </c>
      <c r="K978" s="27"/>
      <c r="L978" s="27"/>
      <c r="M978" s="27"/>
      <c r="N978" s="28">
        <f>1680</f>
        <v>1680</v>
      </c>
      <c r="O978" s="28"/>
      <c r="P978" s="28"/>
      <c r="Q978" s="27" t="s">
        <v>2032</v>
      </c>
      <c r="R978" s="27"/>
      <c r="S978" s="29" t="s">
        <v>2032</v>
      </c>
      <c r="T978" s="29"/>
      <c r="U978" s="29"/>
      <c r="V978" s="29"/>
      <c r="W978" s="30" t="s">
        <v>2032</v>
      </c>
      <c r="X978" s="29" t="s">
        <v>2032</v>
      </c>
      <c r="Y978" s="29"/>
      <c r="Z978" s="29"/>
      <c r="AA978" s="29"/>
      <c r="AB978" s="27" t="s">
        <v>2056</v>
      </c>
      <c r="AC978" s="27"/>
      <c r="AD978" s="27"/>
      <c r="AE978" s="31">
        <f>1680</f>
        <v>1680</v>
      </c>
      <c r="AF978" s="31"/>
      <c r="AG978" s="31"/>
    </row>
    <row r="979" spans="1:33" s="1" customFormat="1" ht="33" customHeight="1">
      <c r="A979" s="24" t="s">
        <v>1210</v>
      </c>
      <c r="B979" s="25" t="s">
        <v>1211</v>
      </c>
      <c r="C979" s="25"/>
      <c r="D979" s="25"/>
      <c r="E979" s="26" t="s">
        <v>1212</v>
      </c>
      <c r="F979" s="26"/>
      <c r="G979" s="26"/>
      <c r="H979" s="26"/>
      <c r="I979" s="26"/>
      <c r="J979" s="27" t="s">
        <v>2085</v>
      </c>
      <c r="K979" s="27"/>
      <c r="L979" s="27"/>
      <c r="M979" s="27"/>
      <c r="N979" s="28">
        <f>6900</f>
        <v>6900</v>
      </c>
      <c r="O979" s="28"/>
      <c r="P979" s="28"/>
      <c r="Q979" s="27" t="s">
        <v>2032</v>
      </c>
      <c r="R979" s="27"/>
      <c r="S979" s="29" t="s">
        <v>2032</v>
      </c>
      <c r="T979" s="29"/>
      <c r="U979" s="29"/>
      <c r="V979" s="29"/>
      <c r="W979" s="30" t="s">
        <v>2032</v>
      </c>
      <c r="X979" s="29" t="s">
        <v>2032</v>
      </c>
      <c r="Y979" s="29"/>
      <c r="Z979" s="29"/>
      <c r="AA979" s="29"/>
      <c r="AB979" s="27" t="s">
        <v>2085</v>
      </c>
      <c r="AC979" s="27"/>
      <c r="AD979" s="27"/>
      <c r="AE979" s="31">
        <f>6900</f>
        <v>6900</v>
      </c>
      <c r="AF979" s="31"/>
      <c r="AG979" s="31"/>
    </row>
    <row r="980" spans="1:33" s="1" customFormat="1" ht="33" customHeight="1">
      <c r="A980" s="24" t="s">
        <v>1213</v>
      </c>
      <c r="B980" s="25" t="s">
        <v>1214</v>
      </c>
      <c r="C980" s="25"/>
      <c r="D980" s="25"/>
      <c r="E980" s="26" t="s">
        <v>1215</v>
      </c>
      <c r="F980" s="26"/>
      <c r="G980" s="26"/>
      <c r="H980" s="26"/>
      <c r="I980" s="26"/>
      <c r="J980" s="27" t="s">
        <v>2057</v>
      </c>
      <c r="K980" s="27"/>
      <c r="L980" s="27"/>
      <c r="M980" s="27"/>
      <c r="N980" s="28">
        <f>1720</f>
        <v>1720</v>
      </c>
      <c r="O980" s="28"/>
      <c r="P980" s="28"/>
      <c r="Q980" s="27" t="s">
        <v>2032</v>
      </c>
      <c r="R980" s="27"/>
      <c r="S980" s="29" t="s">
        <v>2032</v>
      </c>
      <c r="T980" s="29"/>
      <c r="U980" s="29"/>
      <c r="V980" s="29"/>
      <c r="W980" s="30" t="s">
        <v>2032</v>
      </c>
      <c r="X980" s="29" t="s">
        <v>2032</v>
      </c>
      <c r="Y980" s="29"/>
      <c r="Z980" s="29"/>
      <c r="AA980" s="29"/>
      <c r="AB980" s="27" t="s">
        <v>2057</v>
      </c>
      <c r="AC980" s="27"/>
      <c r="AD980" s="27"/>
      <c r="AE980" s="31">
        <f>1720</f>
        <v>1720</v>
      </c>
      <c r="AF980" s="31"/>
      <c r="AG980" s="31"/>
    </row>
    <row r="981" spans="1:33" s="1" customFormat="1" ht="33" customHeight="1">
      <c r="A981" s="24" t="s">
        <v>1216</v>
      </c>
      <c r="B981" s="25" t="s">
        <v>1217</v>
      </c>
      <c r="C981" s="25"/>
      <c r="D981" s="25"/>
      <c r="E981" s="26" t="s">
        <v>1218</v>
      </c>
      <c r="F981" s="26"/>
      <c r="G981" s="26"/>
      <c r="H981" s="26"/>
      <c r="I981" s="26"/>
      <c r="J981" s="27" t="s">
        <v>2057</v>
      </c>
      <c r="K981" s="27"/>
      <c r="L981" s="27"/>
      <c r="M981" s="27"/>
      <c r="N981" s="28">
        <f>560</f>
        <v>560</v>
      </c>
      <c r="O981" s="28"/>
      <c r="P981" s="28"/>
      <c r="Q981" s="27" t="s">
        <v>2032</v>
      </c>
      <c r="R981" s="27"/>
      <c r="S981" s="29" t="s">
        <v>2032</v>
      </c>
      <c r="T981" s="29"/>
      <c r="U981" s="29"/>
      <c r="V981" s="29"/>
      <c r="W981" s="30" t="s">
        <v>2032</v>
      </c>
      <c r="X981" s="29" t="s">
        <v>2032</v>
      </c>
      <c r="Y981" s="29"/>
      <c r="Z981" s="29"/>
      <c r="AA981" s="29"/>
      <c r="AB981" s="27" t="s">
        <v>2057</v>
      </c>
      <c r="AC981" s="27"/>
      <c r="AD981" s="27"/>
      <c r="AE981" s="31">
        <f>560</f>
        <v>560</v>
      </c>
      <c r="AF981" s="31"/>
      <c r="AG981" s="31"/>
    </row>
    <row r="982" spans="1:33" s="1" customFormat="1" ht="33" customHeight="1">
      <c r="A982" s="24" t="s">
        <v>1219</v>
      </c>
      <c r="B982" s="25" t="s">
        <v>1220</v>
      </c>
      <c r="C982" s="25"/>
      <c r="D982" s="25"/>
      <c r="E982" s="26" t="s">
        <v>1221</v>
      </c>
      <c r="F982" s="26"/>
      <c r="G982" s="26"/>
      <c r="H982" s="26"/>
      <c r="I982" s="26"/>
      <c r="J982" s="27" t="s">
        <v>2056</v>
      </c>
      <c r="K982" s="27"/>
      <c r="L982" s="27"/>
      <c r="M982" s="27"/>
      <c r="N982" s="28">
        <f>1290</f>
        <v>1290</v>
      </c>
      <c r="O982" s="28"/>
      <c r="P982" s="28"/>
      <c r="Q982" s="27" t="s">
        <v>2032</v>
      </c>
      <c r="R982" s="27"/>
      <c r="S982" s="29" t="s">
        <v>2032</v>
      </c>
      <c r="T982" s="29"/>
      <c r="U982" s="29"/>
      <c r="V982" s="29"/>
      <c r="W982" s="30" t="s">
        <v>2032</v>
      </c>
      <c r="X982" s="29" t="s">
        <v>2032</v>
      </c>
      <c r="Y982" s="29"/>
      <c r="Z982" s="29"/>
      <c r="AA982" s="29"/>
      <c r="AB982" s="27" t="s">
        <v>2056</v>
      </c>
      <c r="AC982" s="27"/>
      <c r="AD982" s="27"/>
      <c r="AE982" s="31">
        <f>1290</f>
        <v>1290</v>
      </c>
      <c r="AF982" s="31"/>
      <c r="AG982" s="31"/>
    </row>
    <row r="983" spans="1:33" s="1" customFormat="1" ht="33" customHeight="1">
      <c r="A983" s="24" t="s">
        <v>1222</v>
      </c>
      <c r="B983" s="25" t="s">
        <v>1223</v>
      </c>
      <c r="C983" s="25"/>
      <c r="D983" s="25"/>
      <c r="E983" s="26" t="s">
        <v>1221</v>
      </c>
      <c r="F983" s="26"/>
      <c r="G983" s="26"/>
      <c r="H983" s="26"/>
      <c r="I983" s="26"/>
      <c r="J983" s="27" t="s">
        <v>2056</v>
      </c>
      <c r="K983" s="27"/>
      <c r="L983" s="27"/>
      <c r="M983" s="27"/>
      <c r="N983" s="28">
        <f>1290</f>
        <v>1290</v>
      </c>
      <c r="O983" s="28"/>
      <c r="P983" s="28"/>
      <c r="Q983" s="27" t="s">
        <v>2032</v>
      </c>
      <c r="R983" s="27"/>
      <c r="S983" s="29" t="s">
        <v>2032</v>
      </c>
      <c r="T983" s="29"/>
      <c r="U983" s="29"/>
      <c r="V983" s="29"/>
      <c r="W983" s="30" t="s">
        <v>2032</v>
      </c>
      <c r="X983" s="29" t="s">
        <v>2032</v>
      </c>
      <c r="Y983" s="29"/>
      <c r="Z983" s="29"/>
      <c r="AA983" s="29"/>
      <c r="AB983" s="27" t="s">
        <v>2056</v>
      </c>
      <c r="AC983" s="27"/>
      <c r="AD983" s="27"/>
      <c r="AE983" s="31">
        <f>1290</f>
        <v>1290</v>
      </c>
      <c r="AF983" s="31"/>
      <c r="AG983" s="31"/>
    </row>
    <row r="984" spans="1:33" s="1" customFormat="1" ht="33" customHeight="1">
      <c r="A984" s="24" t="s">
        <v>1224</v>
      </c>
      <c r="B984" s="25" t="s">
        <v>1225</v>
      </c>
      <c r="C984" s="25"/>
      <c r="D984" s="25"/>
      <c r="E984" s="26" t="s">
        <v>1226</v>
      </c>
      <c r="F984" s="26"/>
      <c r="G984" s="26"/>
      <c r="H984" s="26"/>
      <c r="I984" s="26"/>
      <c r="J984" s="27" t="s">
        <v>2056</v>
      </c>
      <c r="K984" s="27"/>
      <c r="L984" s="27"/>
      <c r="M984" s="27"/>
      <c r="N984" s="28">
        <f>750</f>
        <v>750</v>
      </c>
      <c r="O984" s="28"/>
      <c r="P984" s="28"/>
      <c r="Q984" s="27" t="s">
        <v>2032</v>
      </c>
      <c r="R984" s="27"/>
      <c r="S984" s="29" t="s">
        <v>2032</v>
      </c>
      <c r="T984" s="29"/>
      <c r="U984" s="29"/>
      <c r="V984" s="29"/>
      <c r="W984" s="30" t="s">
        <v>2032</v>
      </c>
      <c r="X984" s="29" t="s">
        <v>2032</v>
      </c>
      <c r="Y984" s="29"/>
      <c r="Z984" s="29"/>
      <c r="AA984" s="29"/>
      <c r="AB984" s="27" t="s">
        <v>2056</v>
      </c>
      <c r="AC984" s="27"/>
      <c r="AD984" s="27"/>
      <c r="AE984" s="31">
        <f>750</f>
        <v>750</v>
      </c>
      <c r="AF984" s="31"/>
      <c r="AG984" s="31"/>
    </row>
    <row r="985" spans="1:33" s="1" customFormat="1" ht="33" customHeight="1">
      <c r="A985" s="24" t="s">
        <v>1227</v>
      </c>
      <c r="B985" s="25" t="s">
        <v>1228</v>
      </c>
      <c r="C985" s="25"/>
      <c r="D985" s="25"/>
      <c r="E985" s="26" t="s">
        <v>1229</v>
      </c>
      <c r="F985" s="26"/>
      <c r="G985" s="26"/>
      <c r="H985" s="26"/>
      <c r="I985" s="26"/>
      <c r="J985" s="27" t="s">
        <v>2056</v>
      </c>
      <c r="K985" s="27"/>
      <c r="L985" s="27"/>
      <c r="M985" s="27"/>
      <c r="N985" s="28">
        <f>1110</f>
        <v>1110</v>
      </c>
      <c r="O985" s="28"/>
      <c r="P985" s="28"/>
      <c r="Q985" s="27" t="s">
        <v>2032</v>
      </c>
      <c r="R985" s="27"/>
      <c r="S985" s="29" t="s">
        <v>2032</v>
      </c>
      <c r="T985" s="29"/>
      <c r="U985" s="29"/>
      <c r="V985" s="29"/>
      <c r="W985" s="30" t="s">
        <v>2032</v>
      </c>
      <c r="X985" s="29" t="s">
        <v>2032</v>
      </c>
      <c r="Y985" s="29"/>
      <c r="Z985" s="29"/>
      <c r="AA985" s="29"/>
      <c r="AB985" s="27" t="s">
        <v>2056</v>
      </c>
      <c r="AC985" s="27"/>
      <c r="AD985" s="27"/>
      <c r="AE985" s="31">
        <f>1110</f>
        <v>1110</v>
      </c>
      <c r="AF985" s="31"/>
      <c r="AG985" s="31"/>
    </row>
    <row r="986" spans="1:33" s="1" customFormat="1" ht="18.75" customHeight="1">
      <c r="A986" s="24" t="s">
        <v>1230</v>
      </c>
      <c r="B986" s="25" t="s">
        <v>3718</v>
      </c>
      <c r="C986" s="25"/>
      <c r="D986" s="25"/>
      <c r="E986" s="26" t="s">
        <v>1231</v>
      </c>
      <c r="F986" s="26"/>
      <c r="G986" s="26"/>
      <c r="H986" s="26"/>
      <c r="I986" s="26"/>
      <c r="J986" s="27" t="s">
        <v>2063</v>
      </c>
      <c r="K986" s="27"/>
      <c r="L986" s="27"/>
      <c r="M986" s="27"/>
      <c r="N986" s="28">
        <f>3033.32</f>
        <v>3033.32</v>
      </c>
      <c r="O986" s="28"/>
      <c r="P986" s="28"/>
      <c r="Q986" s="27" t="s">
        <v>2032</v>
      </c>
      <c r="R986" s="27"/>
      <c r="S986" s="29" t="s">
        <v>2032</v>
      </c>
      <c r="T986" s="29"/>
      <c r="U986" s="29"/>
      <c r="V986" s="29"/>
      <c r="W986" s="30" t="s">
        <v>2032</v>
      </c>
      <c r="X986" s="29" t="s">
        <v>2032</v>
      </c>
      <c r="Y986" s="29"/>
      <c r="Z986" s="29"/>
      <c r="AA986" s="29"/>
      <c r="AB986" s="27" t="s">
        <v>2063</v>
      </c>
      <c r="AC986" s="27"/>
      <c r="AD986" s="27"/>
      <c r="AE986" s="31">
        <f>3033.32</f>
        <v>3033.32</v>
      </c>
      <c r="AF986" s="31"/>
      <c r="AG986" s="31"/>
    </row>
    <row r="987" spans="1:33" s="1" customFormat="1" ht="18.75" customHeight="1">
      <c r="A987" s="24" t="s">
        <v>1232</v>
      </c>
      <c r="B987" s="25" t="s">
        <v>1233</v>
      </c>
      <c r="C987" s="25"/>
      <c r="D987" s="25"/>
      <c r="E987" s="26" t="s">
        <v>1231</v>
      </c>
      <c r="F987" s="26"/>
      <c r="G987" s="26"/>
      <c r="H987" s="26"/>
      <c r="I987" s="26"/>
      <c r="J987" s="27" t="s">
        <v>2065</v>
      </c>
      <c r="K987" s="27"/>
      <c r="L987" s="27"/>
      <c r="M987" s="27"/>
      <c r="N987" s="28">
        <f>3800</f>
        <v>3800</v>
      </c>
      <c r="O987" s="28"/>
      <c r="P987" s="28"/>
      <c r="Q987" s="27" t="s">
        <v>2032</v>
      </c>
      <c r="R987" s="27"/>
      <c r="S987" s="29" t="s">
        <v>2032</v>
      </c>
      <c r="T987" s="29"/>
      <c r="U987" s="29"/>
      <c r="V987" s="29"/>
      <c r="W987" s="30" t="s">
        <v>2032</v>
      </c>
      <c r="X987" s="29" t="s">
        <v>2032</v>
      </c>
      <c r="Y987" s="29"/>
      <c r="Z987" s="29"/>
      <c r="AA987" s="29"/>
      <c r="AB987" s="27" t="s">
        <v>2065</v>
      </c>
      <c r="AC987" s="27"/>
      <c r="AD987" s="27"/>
      <c r="AE987" s="31">
        <f>3800</f>
        <v>3800</v>
      </c>
      <c r="AF987" s="31"/>
      <c r="AG987" s="31"/>
    </row>
    <row r="988" spans="1:33" s="1" customFormat="1" ht="18.75" customHeight="1">
      <c r="A988" s="24" t="s">
        <v>1234</v>
      </c>
      <c r="B988" s="25" t="s">
        <v>1235</v>
      </c>
      <c r="C988" s="25"/>
      <c r="D988" s="25"/>
      <c r="E988" s="26" t="s">
        <v>1236</v>
      </c>
      <c r="F988" s="26"/>
      <c r="G988" s="26"/>
      <c r="H988" s="26"/>
      <c r="I988" s="26"/>
      <c r="J988" s="27" t="s">
        <v>2056</v>
      </c>
      <c r="K988" s="27"/>
      <c r="L988" s="27"/>
      <c r="M988" s="27"/>
      <c r="N988" s="28">
        <f>146.13</f>
        <v>146.13</v>
      </c>
      <c r="O988" s="28"/>
      <c r="P988" s="28"/>
      <c r="Q988" s="27" t="s">
        <v>2032</v>
      </c>
      <c r="R988" s="27"/>
      <c r="S988" s="29" t="s">
        <v>2032</v>
      </c>
      <c r="T988" s="29"/>
      <c r="U988" s="29"/>
      <c r="V988" s="29"/>
      <c r="W988" s="30" t="s">
        <v>2032</v>
      </c>
      <c r="X988" s="29" t="s">
        <v>2032</v>
      </c>
      <c r="Y988" s="29"/>
      <c r="Z988" s="29"/>
      <c r="AA988" s="29"/>
      <c r="AB988" s="27" t="s">
        <v>2056</v>
      </c>
      <c r="AC988" s="27"/>
      <c r="AD988" s="27"/>
      <c r="AE988" s="31">
        <f>146.13</f>
        <v>146.13</v>
      </c>
      <c r="AF988" s="31"/>
      <c r="AG988" s="31"/>
    </row>
    <row r="989" spans="1:33" s="1" customFormat="1" ht="33" customHeight="1">
      <c r="A989" s="24" t="s">
        <v>1237</v>
      </c>
      <c r="B989" s="25" t="s">
        <v>1238</v>
      </c>
      <c r="C989" s="25"/>
      <c r="D989" s="25"/>
      <c r="E989" s="26" t="s">
        <v>1239</v>
      </c>
      <c r="F989" s="26"/>
      <c r="G989" s="26"/>
      <c r="H989" s="26"/>
      <c r="I989" s="26"/>
      <c r="J989" s="27" t="s">
        <v>2058</v>
      </c>
      <c r="K989" s="27"/>
      <c r="L989" s="27"/>
      <c r="M989" s="27"/>
      <c r="N989" s="28">
        <f>1620</f>
        <v>1620</v>
      </c>
      <c r="O989" s="28"/>
      <c r="P989" s="28"/>
      <c r="Q989" s="27" t="s">
        <v>2032</v>
      </c>
      <c r="R989" s="27"/>
      <c r="S989" s="29" t="s">
        <v>2032</v>
      </c>
      <c r="T989" s="29"/>
      <c r="U989" s="29"/>
      <c r="V989" s="29"/>
      <c r="W989" s="30" t="s">
        <v>2032</v>
      </c>
      <c r="X989" s="29" t="s">
        <v>2032</v>
      </c>
      <c r="Y989" s="29"/>
      <c r="Z989" s="29"/>
      <c r="AA989" s="29"/>
      <c r="AB989" s="27" t="s">
        <v>2058</v>
      </c>
      <c r="AC989" s="27"/>
      <c r="AD989" s="27"/>
      <c r="AE989" s="31">
        <f>1620</f>
        <v>1620</v>
      </c>
      <c r="AF989" s="31"/>
      <c r="AG989" s="31"/>
    </row>
    <row r="990" spans="1:33" s="1" customFormat="1" ht="33" customHeight="1">
      <c r="A990" s="24" t="s">
        <v>1240</v>
      </c>
      <c r="B990" s="25" t="s">
        <v>1241</v>
      </c>
      <c r="C990" s="25"/>
      <c r="D990" s="25"/>
      <c r="E990" s="26" t="s">
        <v>1242</v>
      </c>
      <c r="F990" s="26"/>
      <c r="G990" s="26"/>
      <c r="H990" s="26"/>
      <c r="I990" s="26"/>
      <c r="J990" s="27" t="s">
        <v>2057</v>
      </c>
      <c r="K990" s="27"/>
      <c r="L990" s="27"/>
      <c r="M990" s="27"/>
      <c r="N990" s="28">
        <f>530</f>
        <v>530</v>
      </c>
      <c r="O990" s="28"/>
      <c r="P990" s="28"/>
      <c r="Q990" s="27" t="s">
        <v>2032</v>
      </c>
      <c r="R990" s="27"/>
      <c r="S990" s="29" t="s">
        <v>2032</v>
      </c>
      <c r="T990" s="29"/>
      <c r="U990" s="29"/>
      <c r="V990" s="29"/>
      <c r="W990" s="30" t="s">
        <v>2032</v>
      </c>
      <c r="X990" s="29" t="s">
        <v>2032</v>
      </c>
      <c r="Y990" s="29"/>
      <c r="Z990" s="29"/>
      <c r="AA990" s="29"/>
      <c r="AB990" s="27" t="s">
        <v>2057</v>
      </c>
      <c r="AC990" s="27"/>
      <c r="AD990" s="27"/>
      <c r="AE990" s="31">
        <f>530</f>
        <v>530</v>
      </c>
      <c r="AF990" s="31"/>
      <c r="AG990" s="31"/>
    </row>
    <row r="991" spans="1:33" s="1" customFormat="1" ht="18.75" customHeight="1">
      <c r="A991" s="24" t="s">
        <v>1243</v>
      </c>
      <c r="B991" s="25" t="s">
        <v>1244</v>
      </c>
      <c r="C991" s="25"/>
      <c r="D991" s="25"/>
      <c r="E991" s="26" t="s">
        <v>1245</v>
      </c>
      <c r="F991" s="26"/>
      <c r="G991" s="26"/>
      <c r="H991" s="26"/>
      <c r="I991" s="26"/>
      <c r="J991" s="27" t="s">
        <v>2056</v>
      </c>
      <c r="K991" s="27"/>
      <c r="L991" s="27"/>
      <c r="M991" s="27"/>
      <c r="N991" s="28">
        <f>2244</f>
        <v>2244</v>
      </c>
      <c r="O991" s="28"/>
      <c r="P991" s="28"/>
      <c r="Q991" s="27" t="s">
        <v>2032</v>
      </c>
      <c r="R991" s="27"/>
      <c r="S991" s="29" t="s">
        <v>2032</v>
      </c>
      <c r="T991" s="29"/>
      <c r="U991" s="29"/>
      <c r="V991" s="29"/>
      <c r="W991" s="30" t="s">
        <v>2032</v>
      </c>
      <c r="X991" s="29" t="s">
        <v>2032</v>
      </c>
      <c r="Y991" s="29"/>
      <c r="Z991" s="29"/>
      <c r="AA991" s="29"/>
      <c r="AB991" s="27" t="s">
        <v>2056</v>
      </c>
      <c r="AC991" s="27"/>
      <c r="AD991" s="27"/>
      <c r="AE991" s="31">
        <f>2244</f>
        <v>2244</v>
      </c>
      <c r="AF991" s="31"/>
      <c r="AG991" s="31"/>
    </row>
    <row r="992" spans="1:33" s="1" customFormat="1" ht="18.75" customHeight="1">
      <c r="A992" s="24" t="s">
        <v>1246</v>
      </c>
      <c r="B992" s="25" t="s">
        <v>1247</v>
      </c>
      <c r="C992" s="25"/>
      <c r="D992" s="25"/>
      <c r="E992" s="26" t="s">
        <v>1245</v>
      </c>
      <c r="F992" s="26"/>
      <c r="G992" s="26"/>
      <c r="H992" s="26"/>
      <c r="I992" s="26"/>
      <c r="J992" s="27" t="s">
        <v>2056</v>
      </c>
      <c r="K992" s="27"/>
      <c r="L992" s="27"/>
      <c r="M992" s="27"/>
      <c r="N992" s="28">
        <f>2550</f>
        <v>2550</v>
      </c>
      <c r="O992" s="28"/>
      <c r="P992" s="28"/>
      <c r="Q992" s="27" t="s">
        <v>2032</v>
      </c>
      <c r="R992" s="27"/>
      <c r="S992" s="29" t="s">
        <v>2032</v>
      </c>
      <c r="T992" s="29"/>
      <c r="U992" s="29"/>
      <c r="V992" s="29"/>
      <c r="W992" s="30" t="s">
        <v>2032</v>
      </c>
      <c r="X992" s="29" t="s">
        <v>2032</v>
      </c>
      <c r="Y992" s="29"/>
      <c r="Z992" s="29"/>
      <c r="AA992" s="29"/>
      <c r="AB992" s="27" t="s">
        <v>2056</v>
      </c>
      <c r="AC992" s="27"/>
      <c r="AD992" s="27"/>
      <c r="AE992" s="31">
        <f>2550</f>
        <v>2550</v>
      </c>
      <c r="AF992" s="31"/>
      <c r="AG992" s="31"/>
    </row>
    <row r="993" spans="1:33" s="1" customFormat="1" ht="33" customHeight="1">
      <c r="A993" s="24" t="s">
        <v>1248</v>
      </c>
      <c r="B993" s="25" t="s">
        <v>1249</v>
      </c>
      <c r="C993" s="25"/>
      <c r="D993" s="25"/>
      <c r="E993" s="26" t="s">
        <v>1250</v>
      </c>
      <c r="F993" s="26"/>
      <c r="G993" s="26"/>
      <c r="H993" s="26"/>
      <c r="I993" s="26"/>
      <c r="J993" s="27" t="s">
        <v>2061</v>
      </c>
      <c r="K993" s="27"/>
      <c r="L993" s="27"/>
      <c r="M993" s="27"/>
      <c r="N993" s="28">
        <f>1753.5</f>
        <v>1753.5</v>
      </c>
      <c r="O993" s="28"/>
      <c r="P993" s="28"/>
      <c r="Q993" s="27" t="s">
        <v>2032</v>
      </c>
      <c r="R993" s="27"/>
      <c r="S993" s="29" t="s">
        <v>2032</v>
      </c>
      <c r="T993" s="29"/>
      <c r="U993" s="29"/>
      <c r="V993" s="29"/>
      <c r="W993" s="30" t="s">
        <v>2032</v>
      </c>
      <c r="X993" s="29" t="s">
        <v>2032</v>
      </c>
      <c r="Y993" s="29"/>
      <c r="Z993" s="29"/>
      <c r="AA993" s="29"/>
      <c r="AB993" s="27" t="s">
        <v>2061</v>
      </c>
      <c r="AC993" s="27"/>
      <c r="AD993" s="27"/>
      <c r="AE993" s="31">
        <f>1753.5</f>
        <v>1753.5</v>
      </c>
      <c r="AF993" s="31"/>
      <c r="AG993" s="31"/>
    </row>
    <row r="994" spans="1:33" s="1" customFormat="1" ht="18.75" customHeight="1">
      <c r="A994" s="24" t="s">
        <v>1251</v>
      </c>
      <c r="B994" s="25" t="s">
        <v>1252</v>
      </c>
      <c r="C994" s="25"/>
      <c r="D994" s="25"/>
      <c r="E994" s="26" t="s">
        <v>1253</v>
      </c>
      <c r="F994" s="26"/>
      <c r="G994" s="26"/>
      <c r="H994" s="26"/>
      <c r="I994" s="26"/>
      <c r="J994" s="27" t="s">
        <v>2056</v>
      </c>
      <c r="K994" s="27"/>
      <c r="L994" s="27"/>
      <c r="M994" s="27"/>
      <c r="N994" s="28">
        <f>146.13</f>
        <v>146.13</v>
      </c>
      <c r="O994" s="28"/>
      <c r="P994" s="28"/>
      <c r="Q994" s="27" t="s">
        <v>2032</v>
      </c>
      <c r="R994" s="27"/>
      <c r="S994" s="29" t="s">
        <v>2032</v>
      </c>
      <c r="T994" s="29"/>
      <c r="U994" s="29"/>
      <c r="V994" s="29"/>
      <c r="W994" s="30" t="s">
        <v>2032</v>
      </c>
      <c r="X994" s="29" t="s">
        <v>2032</v>
      </c>
      <c r="Y994" s="29"/>
      <c r="Z994" s="29"/>
      <c r="AA994" s="29"/>
      <c r="AB994" s="27" t="s">
        <v>2056</v>
      </c>
      <c r="AC994" s="27"/>
      <c r="AD994" s="27"/>
      <c r="AE994" s="31">
        <f>146.13</f>
        <v>146.13</v>
      </c>
      <c r="AF994" s="31"/>
      <c r="AG994" s="31"/>
    </row>
    <row r="995" spans="1:33" s="1" customFormat="1" ht="18.75" customHeight="1">
      <c r="A995" s="24" t="s">
        <v>1254</v>
      </c>
      <c r="B995" s="25" t="s">
        <v>1255</v>
      </c>
      <c r="C995" s="25"/>
      <c r="D995" s="25"/>
      <c r="E995" s="26" t="s">
        <v>1256</v>
      </c>
      <c r="F995" s="26"/>
      <c r="G995" s="26"/>
      <c r="H995" s="26"/>
      <c r="I995" s="26"/>
      <c r="J995" s="27" t="s">
        <v>2056</v>
      </c>
      <c r="K995" s="27"/>
      <c r="L995" s="27"/>
      <c r="M995" s="27"/>
      <c r="N995" s="28">
        <f>400</f>
        <v>400</v>
      </c>
      <c r="O995" s="28"/>
      <c r="P995" s="28"/>
      <c r="Q995" s="27" t="s">
        <v>2032</v>
      </c>
      <c r="R995" s="27"/>
      <c r="S995" s="29" t="s">
        <v>2032</v>
      </c>
      <c r="T995" s="29"/>
      <c r="U995" s="29"/>
      <c r="V995" s="29"/>
      <c r="W995" s="30" t="s">
        <v>2032</v>
      </c>
      <c r="X995" s="29" t="s">
        <v>2032</v>
      </c>
      <c r="Y995" s="29"/>
      <c r="Z995" s="29"/>
      <c r="AA995" s="29"/>
      <c r="AB995" s="27" t="s">
        <v>2056</v>
      </c>
      <c r="AC995" s="27"/>
      <c r="AD995" s="27"/>
      <c r="AE995" s="31">
        <f>400</f>
        <v>400</v>
      </c>
      <c r="AF995" s="31"/>
      <c r="AG995" s="31"/>
    </row>
    <row r="996" spans="1:33" s="1" customFormat="1" ht="33" customHeight="1">
      <c r="A996" s="24" t="s">
        <v>1257</v>
      </c>
      <c r="B996" s="25" t="s">
        <v>1258</v>
      </c>
      <c r="C996" s="25"/>
      <c r="D996" s="25"/>
      <c r="E996" s="26" t="s">
        <v>1259</v>
      </c>
      <c r="F996" s="26"/>
      <c r="G996" s="26"/>
      <c r="H996" s="26"/>
      <c r="I996" s="26"/>
      <c r="J996" s="27" t="s">
        <v>2057</v>
      </c>
      <c r="K996" s="27"/>
      <c r="L996" s="27"/>
      <c r="M996" s="27"/>
      <c r="N996" s="28">
        <f>3000</f>
        <v>3000</v>
      </c>
      <c r="O996" s="28"/>
      <c r="P996" s="28"/>
      <c r="Q996" s="27" t="s">
        <v>2032</v>
      </c>
      <c r="R996" s="27"/>
      <c r="S996" s="29" t="s">
        <v>2032</v>
      </c>
      <c r="T996" s="29"/>
      <c r="U996" s="29"/>
      <c r="V996" s="29"/>
      <c r="W996" s="30" t="s">
        <v>2032</v>
      </c>
      <c r="X996" s="29" t="s">
        <v>2032</v>
      </c>
      <c r="Y996" s="29"/>
      <c r="Z996" s="29"/>
      <c r="AA996" s="29"/>
      <c r="AB996" s="27" t="s">
        <v>2057</v>
      </c>
      <c r="AC996" s="27"/>
      <c r="AD996" s="27"/>
      <c r="AE996" s="31">
        <f>3000</f>
        <v>3000</v>
      </c>
      <c r="AF996" s="31"/>
      <c r="AG996" s="31"/>
    </row>
    <row r="997" spans="1:33" s="1" customFormat="1" ht="18.75" customHeight="1">
      <c r="A997" s="24" t="s">
        <v>1260</v>
      </c>
      <c r="B997" s="25" t="s">
        <v>1261</v>
      </c>
      <c r="C997" s="25"/>
      <c r="D997" s="25"/>
      <c r="E997" s="26" t="s">
        <v>1262</v>
      </c>
      <c r="F997" s="26"/>
      <c r="G997" s="26"/>
      <c r="H997" s="26"/>
      <c r="I997" s="26"/>
      <c r="J997" s="27" t="s">
        <v>2057</v>
      </c>
      <c r="K997" s="27"/>
      <c r="L997" s="27"/>
      <c r="M997" s="27"/>
      <c r="N997" s="28">
        <f>971.74</f>
        <v>971.74</v>
      </c>
      <c r="O997" s="28"/>
      <c r="P997" s="28"/>
      <c r="Q997" s="27" t="s">
        <v>2032</v>
      </c>
      <c r="R997" s="27"/>
      <c r="S997" s="29" t="s">
        <v>2032</v>
      </c>
      <c r="T997" s="29"/>
      <c r="U997" s="29"/>
      <c r="V997" s="29"/>
      <c r="W997" s="30" t="s">
        <v>2032</v>
      </c>
      <c r="X997" s="29" t="s">
        <v>2032</v>
      </c>
      <c r="Y997" s="29"/>
      <c r="Z997" s="29"/>
      <c r="AA997" s="29"/>
      <c r="AB997" s="27" t="s">
        <v>2057</v>
      </c>
      <c r="AC997" s="27"/>
      <c r="AD997" s="27"/>
      <c r="AE997" s="31">
        <f>971.74</f>
        <v>971.74</v>
      </c>
      <c r="AF997" s="31"/>
      <c r="AG997" s="31"/>
    </row>
    <row r="998" spans="1:33" s="1" customFormat="1" ht="33" customHeight="1">
      <c r="A998" s="24" t="s">
        <v>1263</v>
      </c>
      <c r="B998" s="25" t="s">
        <v>1264</v>
      </c>
      <c r="C998" s="25"/>
      <c r="D998" s="25"/>
      <c r="E998" s="26" t="s">
        <v>1265</v>
      </c>
      <c r="F998" s="26"/>
      <c r="G998" s="26"/>
      <c r="H998" s="26"/>
      <c r="I998" s="26"/>
      <c r="J998" s="27" t="s">
        <v>2058</v>
      </c>
      <c r="K998" s="27"/>
      <c r="L998" s="27"/>
      <c r="M998" s="27"/>
      <c r="N998" s="28">
        <f>2112</f>
        <v>2112</v>
      </c>
      <c r="O998" s="28"/>
      <c r="P998" s="28"/>
      <c r="Q998" s="27" t="s">
        <v>2032</v>
      </c>
      <c r="R998" s="27"/>
      <c r="S998" s="29" t="s">
        <v>2032</v>
      </c>
      <c r="T998" s="29"/>
      <c r="U998" s="29"/>
      <c r="V998" s="29"/>
      <c r="W998" s="30" t="s">
        <v>2032</v>
      </c>
      <c r="X998" s="29" t="s">
        <v>2032</v>
      </c>
      <c r="Y998" s="29"/>
      <c r="Z998" s="29"/>
      <c r="AA998" s="29"/>
      <c r="AB998" s="27" t="s">
        <v>2058</v>
      </c>
      <c r="AC998" s="27"/>
      <c r="AD998" s="27"/>
      <c r="AE998" s="31">
        <f>2112</f>
        <v>2112</v>
      </c>
      <c r="AF998" s="31"/>
      <c r="AG998" s="31"/>
    </row>
    <row r="999" spans="1:33" s="1" customFormat="1" ht="33" customHeight="1">
      <c r="A999" s="24" t="s">
        <v>1266</v>
      </c>
      <c r="B999" s="25" t="s">
        <v>1267</v>
      </c>
      <c r="C999" s="25"/>
      <c r="D999" s="25"/>
      <c r="E999" s="26" t="s">
        <v>1268</v>
      </c>
      <c r="F999" s="26"/>
      <c r="G999" s="26"/>
      <c r="H999" s="26"/>
      <c r="I999" s="26"/>
      <c r="J999" s="27" t="s">
        <v>2056</v>
      </c>
      <c r="K999" s="27"/>
      <c r="L999" s="27"/>
      <c r="M999" s="27"/>
      <c r="N999" s="28">
        <f>671</f>
        <v>671</v>
      </c>
      <c r="O999" s="28"/>
      <c r="P999" s="28"/>
      <c r="Q999" s="27" t="s">
        <v>2032</v>
      </c>
      <c r="R999" s="27"/>
      <c r="S999" s="29" t="s">
        <v>2032</v>
      </c>
      <c r="T999" s="29"/>
      <c r="U999" s="29"/>
      <c r="V999" s="29"/>
      <c r="W999" s="30" t="s">
        <v>2032</v>
      </c>
      <c r="X999" s="29" t="s">
        <v>2032</v>
      </c>
      <c r="Y999" s="29"/>
      <c r="Z999" s="29"/>
      <c r="AA999" s="29"/>
      <c r="AB999" s="27" t="s">
        <v>2056</v>
      </c>
      <c r="AC999" s="27"/>
      <c r="AD999" s="27"/>
      <c r="AE999" s="31">
        <f>671</f>
        <v>671</v>
      </c>
      <c r="AF999" s="31"/>
      <c r="AG999" s="31"/>
    </row>
    <row r="1000" spans="1:33" s="1" customFormat="1" ht="18.75" customHeight="1">
      <c r="A1000" s="24" t="s">
        <v>1269</v>
      </c>
      <c r="B1000" s="25" t="s">
        <v>1270</v>
      </c>
      <c r="C1000" s="25"/>
      <c r="D1000" s="25"/>
      <c r="E1000" s="26" t="s">
        <v>1271</v>
      </c>
      <c r="F1000" s="26"/>
      <c r="G1000" s="26"/>
      <c r="H1000" s="26"/>
      <c r="I1000" s="26"/>
      <c r="J1000" s="27" t="s">
        <v>2056</v>
      </c>
      <c r="K1000" s="27"/>
      <c r="L1000" s="27"/>
      <c r="M1000" s="27"/>
      <c r="N1000" s="28">
        <f>500</f>
        <v>500</v>
      </c>
      <c r="O1000" s="28"/>
      <c r="P1000" s="28"/>
      <c r="Q1000" s="27" t="s">
        <v>2032</v>
      </c>
      <c r="R1000" s="27"/>
      <c r="S1000" s="29" t="s">
        <v>2032</v>
      </c>
      <c r="T1000" s="29"/>
      <c r="U1000" s="29"/>
      <c r="V1000" s="29"/>
      <c r="W1000" s="30" t="s">
        <v>2032</v>
      </c>
      <c r="X1000" s="29" t="s">
        <v>2032</v>
      </c>
      <c r="Y1000" s="29"/>
      <c r="Z1000" s="29"/>
      <c r="AA1000" s="29"/>
      <c r="AB1000" s="27" t="s">
        <v>2056</v>
      </c>
      <c r="AC1000" s="27"/>
      <c r="AD1000" s="27"/>
      <c r="AE1000" s="31">
        <f>500</f>
        <v>500</v>
      </c>
      <c r="AF1000" s="31"/>
      <c r="AG1000" s="31"/>
    </row>
    <row r="1001" spans="1:33" s="1" customFormat="1" ht="18.75" customHeight="1">
      <c r="A1001" s="24" t="s">
        <v>1272</v>
      </c>
      <c r="B1001" s="25" t="s">
        <v>1273</v>
      </c>
      <c r="C1001" s="25"/>
      <c r="D1001" s="25"/>
      <c r="E1001" s="26" t="s">
        <v>1274</v>
      </c>
      <c r="F1001" s="26"/>
      <c r="G1001" s="26"/>
      <c r="H1001" s="26"/>
      <c r="I1001" s="26"/>
      <c r="J1001" s="27" t="s">
        <v>2056</v>
      </c>
      <c r="K1001" s="27"/>
      <c r="L1001" s="27"/>
      <c r="M1001" s="27"/>
      <c r="N1001" s="28">
        <f>120</f>
        <v>120</v>
      </c>
      <c r="O1001" s="28"/>
      <c r="P1001" s="28"/>
      <c r="Q1001" s="27" t="s">
        <v>2032</v>
      </c>
      <c r="R1001" s="27"/>
      <c r="S1001" s="29" t="s">
        <v>2032</v>
      </c>
      <c r="T1001" s="29"/>
      <c r="U1001" s="29"/>
      <c r="V1001" s="29"/>
      <c r="W1001" s="30" t="s">
        <v>2032</v>
      </c>
      <c r="X1001" s="29" t="s">
        <v>2032</v>
      </c>
      <c r="Y1001" s="29"/>
      <c r="Z1001" s="29"/>
      <c r="AA1001" s="29"/>
      <c r="AB1001" s="27" t="s">
        <v>2056</v>
      </c>
      <c r="AC1001" s="27"/>
      <c r="AD1001" s="27"/>
      <c r="AE1001" s="31">
        <f>120</f>
        <v>120</v>
      </c>
      <c r="AF1001" s="31"/>
      <c r="AG1001" s="31"/>
    </row>
    <row r="1002" spans="1:33" s="1" customFormat="1" ht="18.75" customHeight="1">
      <c r="A1002" s="24" t="s">
        <v>1275</v>
      </c>
      <c r="B1002" s="25" t="s">
        <v>1276</v>
      </c>
      <c r="C1002" s="25"/>
      <c r="D1002" s="25"/>
      <c r="E1002" s="26" t="s">
        <v>1277</v>
      </c>
      <c r="F1002" s="26"/>
      <c r="G1002" s="26"/>
      <c r="H1002" s="26"/>
      <c r="I1002" s="26"/>
      <c r="J1002" s="27" t="s">
        <v>2056</v>
      </c>
      <c r="K1002" s="27"/>
      <c r="L1002" s="27"/>
      <c r="M1002" s="27"/>
      <c r="N1002" s="28">
        <f>986</f>
        <v>986</v>
      </c>
      <c r="O1002" s="28"/>
      <c r="P1002" s="28"/>
      <c r="Q1002" s="27" t="s">
        <v>2032</v>
      </c>
      <c r="R1002" s="27"/>
      <c r="S1002" s="29" t="s">
        <v>2032</v>
      </c>
      <c r="T1002" s="29"/>
      <c r="U1002" s="29"/>
      <c r="V1002" s="29"/>
      <c r="W1002" s="30" t="s">
        <v>2032</v>
      </c>
      <c r="X1002" s="29" t="s">
        <v>2032</v>
      </c>
      <c r="Y1002" s="29"/>
      <c r="Z1002" s="29"/>
      <c r="AA1002" s="29"/>
      <c r="AB1002" s="27" t="s">
        <v>2056</v>
      </c>
      <c r="AC1002" s="27"/>
      <c r="AD1002" s="27"/>
      <c r="AE1002" s="31">
        <f>986</f>
        <v>986</v>
      </c>
      <c r="AF1002" s="31"/>
      <c r="AG1002" s="31"/>
    </row>
    <row r="1003" spans="1:33" s="1" customFormat="1" ht="18.75" customHeight="1">
      <c r="A1003" s="24" t="s">
        <v>1278</v>
      </c>
      <c r="B1003" s="25" t="s">
        <v>1279</v>
      </c>
      <c r="C1003" s="25"/>
      <c r="D1003" s="25"/>
      <c r="E1003" s="26" t="s">
        <v>1280</v>
      </c>
      <c r="F1003" s="26"/>
      <c r="G1003" s="26"/>
      <c r="H1003" s="26"/>
      <c r="I1003" s="26"/>
      <c r="J1003" s="27" t="s">
        <v>2056</v>
      </c>
      <c r="K1003" s="27"/>
      <c r="L1003" s="27"/>
      <c r="M1003" s="27"/>
      <c r="N1003" s="28">
        <f>1586.23</f>
        <v>1586.23</v>
      </c>
      <c r="O1003" s="28"/>
      <c r="P1003" s="28"/>
      <c r="Q1003" s="27" t="s">
        <v>2032</v>
      </c>
      <c r="R1003" s="27"/>
      <c r="S1003" s="29" t="s">
        <v>2032</v>
      </c>
      <c r="T1003" s="29"/>
      <c r="U1003" s="29"/>
      <c r="V1003" s="29"/>
      <c r="W1003" s="30" t="s">
        <v>2032</v>
      </c>
      <c r="X1003" s="29" t="s">
        <v>2032</v>
      </c>
      <c r="Y1003" s="29"/>
      <c r="Z1003" s="29"/>
      <c r="AA1003" s="29"/>
      <c r="AB1003" s="27" t="s">
        <v>2056</v>
      </c>
      <c r="AC1003" s="27"/>
      <c r="AD1003" s="27"/>
      <c r="AE1003" s="31">
        <f>1586.23</f>
        <v>1586.23</v>
      </c>
      <c r="AF1003" s="31"/>
      <c r="AG1003" s="31"/>
    </row>
    <row r="1004" spans="1:33" s="1" customFormat="1" ht="18.75" customHeight="1">
      <c r="A1004" s="24" t="s">
        <v>1281</v>
      </c>
      <c r="B1004" s="25" t="s">
        <v>1282</v>
      </c>
      <c r="C1004" s="25"/>
      <c r="D1004" s="25"/>
      <c r="E1004" s="26" t="s">
        <v>1280</v>
      </c>
      <c r="F1004" s="26"/>
      <c r="G1004" s="26"/>
      <c r="H1004" s="26"/>
      <c r="I1004" s="26"/>
      <c r="J1004" s="27" t="s">
        <v>2056</v>
      </c>
      <c r="K1004" s="27"/>
      <c r="L1004" s="27"/>
      <c r="M1004" s="27"/>
      <c r="N1004" s="28">
        <f>1586.23</f>
        <v>1586.23</v>
      </c>
      <c r="O1004" s="28"/>
      <c r="P1004" s="28"/>
      <c r="Q1004" s="27" t="s">
        <v>2032</v>
      </c>
      <c r="R1004" s="27"/>
      <c r="S1004" s="29" t="s">
        <v>2032</v>
      </c>
      <c r="T1004" s="29"/>
      <c r="U1004" s="29"/>
      <c r="V1004" s="29"/>
      <c r="W1004" s="30" t="s">
        <v>2032</v>
      </c>
      <c r="X1004" s="29" t="s">
        <v>2032</v>
      </c>
      <c r="Y1004" s="29"/>
      <c r="Z1004" s="29"/>
      <c r="AA1004" s="29"/>
      <c r="AB1004" s="27" t="s">
        <v>2056</v>
      </c>
      <c r="AC1004" s="27"/>
      <c r="AD1004" s="27"/>
      <c r="AE1004" s="31">
        <f>1586.23</f>
        <v>1586.23</v>
      </c>
      <c r="AF1004" s="31"/>
      <c r="AG1004" s="31"/>
    </row>
    <row r="1005" spans="1:33" s="1" customFormat="1" ht="18.75" customHeight="1">
      <c r="A1005" s="24" t="s">
        <v>1283</v>
      </c>
      <c r="B1005" s="25" t="s">
        <v>1284</v>
      </c>
      <c r="C1005" s="25"/>
      <c r="D1005" s="25"/>
      <c r="E1005" s="26" t="s">
        <v>1280</v>
      </c>
      <c r="F1005" s="26"/>
      <c r="G1005" s="26"/>
      <c r="H1005" s="26"/>
      <c r="I1005" s="26"/>
      <c r="J1005" s="27" t="s">
        <v>2056</v>
      </c>
      <c r="K1005" s="27"/>
      <c r="L1005" s="27"/>
      <c r="M1005" s="27"/>
      <c r="N1005" s="28">
        <f>1586.23</f>
        <v>1586.23</v>
      </c>
      <c r="O1005" s="28"/>
      <c r="P1005" s="28"/>
      <c r="Q1005" s="27" t="s">
        <v>2032</v>
      </c>
      <c r="R1005" s="27"/>
      <c r="S1005" s="29" t="s">
        <v>2032</v>
      </c>
      <c r="T1005" s="29"/>
      <c r="U1005" s="29"/>
      <c r="V1005" s="29"/>
      <c r="W1005" s="30" t="s">
        <v>2032</v>
      </c>
      <c r="X1005" s="29" t="s">
        <v>2032</v>
      </c>
      <c r="Y1005" s="29"/>
      <c r="Z1005" s="29"/>
      <c r="AA1005" s="29"/>
      <c r="AB1005" s="27" t="s">
        <v>2056</v>
      </c>
      <c r="AC1005" s="27"/>
      <c r="AD1005" s="27"/>
      <c r="AE1005" s="31">
        <f>1586.23</f>
        <v>1586.23</v>
      </c>
      <c r="AF1005" s="31"/>
      <c r="AG1005" s="31"/>
    </row>
    <row r="1006" spans="1:33" s="1" customFormat="1" ht="18.75" customHeight="1">
      <c r="A1006" s="24" t="s">
        <v>1285</v>
      </c>
      <c r="B1006" s="25" t="s">
        <v>1286</v>
      </c>
      <c r="C1006" s="25"/>
      <c r="D1006" s="25"/>
      <c r="E1006" s="26" t="s">
        <v>1287</v>
      </c>
      <c r="F1006" s="26"/>
      <c r="G1006" s="26"/>
      <c r="H1006" s="26"/>
      <c r="I1006" s="26"/>
      <c r="J1006" s="27" t="s">
        <v>2056</v>
      </c>
      <c r="K1006" s="27"/>
      <c r="L1006" s="27"/>
      <c r="M1006" s="27"/>
      <c r="N1006" s="28">
        <f>2581</f>
        <v>2581</v>
      </c>
      <c r="O1006" s="28"/>
      <c r="P1006" s="28"/>
      <c r="Q1006" s="27" t="s">
        <v>2032</v>
      </c>
      <c r="R1006" s="27"/>
      <c r="S1006" s="29" t="s">
        <v>2032</v>
      </c>
      <c r="T1006" s="29"/>
      <c r="U1006" s="29"/>
      <c r="V1006" s="29"/>
      <c r="W1006" s="30" t="s">
        <v>2032</v>
      </c>
      <c r="X1006" s="29" t="s">
        <v>2032</v>
      </c>
      <c r="Y1006" s="29"/>
      <c r="Z1006" s="29"/>
      <c r="AA1006" s="29"/>
      <c r="AB1006" s="27" t="s">
        <v>2056</v>
      </c>
      <c r="AC1006" s="27"/>
      <c r="AD1006" s="27"/>
      <c r="AE1006" s="31">
        <f>2581</f>
        <v>2581</v>
      </c>
      <c r="AF1006" s="31"/>
      <c r="AG1006" s="31"/>
    </row>
    <row r="1007" spans="1:33" s="1" customFormat="1" ht="18.75" customHeight="1">
      <c r="A1007" s="24" t="s">
        <v>1288</v>
      </c>
      <c r="B1007" s="25" t="s">
        <v>1289</v>
      </c>
      <c r="C1007" s="25"/>
      <c r="D1007" s="25"/>
      <c r="E1007" s="26" t="s">
        <v>1290</v>
      </c>
      <c r="F1007" s="26"/>
      <c r="G1007" s="26"/>
      <c r="H1007" s="26"/>
      <c r="I1007" s="26"/>
      <c r="J1007" s="27" t="s">
        <v>2056</v>
      </c>
      <c r="K1007" s="27"/>
      <c r="L1007" s="27"/>
      <c r="M1007" s="27"/>
      <c r="N1007" s="28">
        <f aca="true" t="shared" si="10" ref="N1007:N1020">2281.99</f>
        <v>2281.99</v>
      </c>
      <c r="O1007" s="28"/>
      <c r="P1007" s="28"/>
      <c r="Q1007" s="27" t="s">
        <v>2032</v>
      </c>
      <c r="R1007" s="27"/>
      <c r="S1007" s="29" t="s">
        <v>2032</v>
      </c>
      <c r="T1007" s="29"/>
      <c r="U1007" s="29"/>
      <c r="V1007" s="29"/>
      <c r="W1007" s="30" t="s">
        <v>2032</v>
      </c>
      <c r="X1007" s="29" t="s">
        <v>2032</v>
      </c>
      <c r="Y1007" s="29"/>
      <c r="Z1007" s="29"/>
      <c r="AA1007" s="29"/>
      <c r="AB1007" s="27" t="s">
        <v>2056</v>
      </c>
      <c r="AC1007" s="27"/>
      <c r="AD1007" s="27"/>
      <c r="AE1007" s="31">
        <f aca="true" t="shared" si="11" ref="AE1007:AE1020">2281.99</f>
        <v>2281.99</v>
      </c>
      <c r="AF1007" s="31"/>
      <c r="AG1007" s="31"/>
    </row>
    <row r="1008" spans="1:33" s="1" customFormat="1" ht="18.75" customHeight="1">
      <c r="A1008" s="24" t="s">
        <v>1291</v>
      </c>
      <c r="B1008" s="25" t="s">
        <v>1292</v>
      </c>
      <c r="C1008" s="25"/>
      <c r="D1008" s="25"/>
      <c r="E1008" s="26" t="s">
        <v>1290</v>
      </c>
      <c r="F1008" s="26"/>
      <c r="G1008" s="26"/>
      <c r="H1008" s="26"/>
      <c r="I1008" s="26"/>
      <c r="J1008" s="27" t="s">
        <v>2056</v>
      </c>
      <c r="K1008" s="27"/>
      <c r="L1008" s="27"/>
      <c r="M1008" s="27"/>
      <c r="N1008" s="28">
        <f t="shared" si="10"/>
        <v>2281.99</v>
      </c>
      <c r="O1008" s="28"/>
      <c r="P1008" s="28"/>
      <c r="Q1008" s="27" t="s">
        <v>2032</v>
      </c>
      <c r="R1008" s="27"/>
      <c r="S1008" s="29" t="s">
        <v>2032</v>
      </c>
      <c r="T1008" s="29"/>
      <c r="U1008" s="29"/>
      <c r="V1008" s="29"/>
      <c r="W1008" s="30" t="s">
        <v>2032</v>
      </c>
      <c r="X1008" s="29" t="s">
        <v>2032</v>
      </c>
      <c r="Y1008" s="29"/>
      <c r="Z1008" s="29"/>
      <c r="AA1008" s="29"/>
      <c r="AB1008" s="27" t="s">
        <v>2056</v>
      </c>
      <c r="AC1008" s="27"/>
      <c r="AD1008" s="27"/>
      <c r="AE1008" s="31">
        <f t="shared" si="11"/>
        <v>2281.99</v>
      </c>
      <c r="AF1008" s="31"/>
      <c r="AG1008" s="31"/>
    </row>
    <row r="1009" spans="1:33" s="1" customFormat="1" ht="18.75" customHeight="1">
      <c r="A1009" s="24" t="s">
        <v>1293</v>
      </c>
      <c r="B1009" s="25" t="s">
        <v>1294</v>
      </c>
      <c r="C1009" s="25"/>
      <c r="D1009" s="25"/>
      <c r="E1009" s="26" t="s">
        <v>1290</v>
      </c>
      <c r="F1009" s="26"/>
      <c r="G1009" s="26"/>
      <c r="H1009" s="26"/>
      <c r="I1009" s="26"/>
      <c r="J1009" s="27" t="s">
        <v>2056</v>
      </c>
      <c r="K1009" s="27"/>
      <c r="L1009" s="27"/>
      <c r="M1009" s="27"/>
      <c r="N1009" s="28">
        <f t="shared" si="10"/>
        <v>2281.99</v>
      </c>
      <c r="O1009" s="28"/>
      <c r="P1009" s="28"/>
      <c r="Q1009" s="27" t="s">
        <v>2032</v>
      </c>
      <c r="R1009" s="27"/>
      <c r="S1009" s="29" t="s">
        <v>2032</v>
      </c>
      <c r="T1009" s="29"/>
      <c r="U1009" s="29"/>
      <c r="V1009" s="29"/>
      <c r="W1009" s="30" t="s">
        <v>2032</v>
      </c>
      <c r="X1009" s="29" t="s">
        <v>2032</v>
      </c>
      <c r="Y1009" s="29"/>
      <c r="Z1009" s="29"/>
      <c r="AA1009" s="29"/>
      <c r="AB1009" s="27" t="s">
        <v>2056</v>
      </c>
      <c r="AC1009" s="27"/>
      <c r="AD1009" s="27"/>
      <c r="AE1009" s="31">
        <f t="shared" si="11"/>
        <v>2281.99</v>
      </c>
      <c r="AF1009" s="31"/>
      <c r="AG1009" s="31"/>
    </row>
    <row r="1010" spans="1:33" s="1" customFormat="1" ht="18.75" customHeight="1">
      <c r="A1010" s="24" t="s">
        <v>1295</v>
      </c>
      <c r="B1010" s="25" t="s">
        <v>1296</v>
      </c>
      <c r="C1010" s="25"/>
      <c r="D1010" s="25"/>
      <c r="E1010" s="26" t="s">
        <v>1290</v>
      </c>
      <c r="F1010" s="26"/>
      <c r="G1010" s="26"/>
      <c r="H1010" s="26"/>
      <c r="I1010" s="26"/>
      <c r="J1010" s="27" t="s">
        <v>2056</v>
      </c>
      <c r="K1010" s="27"/>
      <c r="L1010" s="27"/>
      <c r="M1010" s="27"/>
      <c r="N1010" s="28">
        <f t="shared" si="10"/>
        <v>2281.99</v>
      </c>
      <c r="O1010" s="28"/>
      <c r="P1010" s="28"/>
      <c r="Q1010" s="27" t="s">
        <v>2032</v>
      </c>
      <c r="R1010" s="27"/>
      <c r="S1010" s="29" t="s">
        <v>2032</v>
      </c>
      <c r="T1010" s="29"/>
      <c r="U1010" s="29"/>
      <c r="V1010" s="29"/>
      <c r="W1010" s="30" t="s">
        <v>2032</v>
      </c>
      <c r="X1010" s="29" t="s">
        <v>2032</v>
      </c>
      <c r="Y1010" s="29"/>
      <c r="Z1010" s="29"/>
      <c r="AA1010" s="29"/>
      <c r="AB1010" s="27" t="s">
        <v>2056</v>
      </c>
      <c r="AC1010" s="27"/>
      <c r="AD1010" s="27"/>
      <c r="AE1010" s="31">
        <f t="shared" si="11"/>
        <v>2281.99</v>
      </c>
      <c r="AF1010" s="31"/>
      <c r="AG1010" s="31"/>
    </row>
    <row r="1011" spans="1:33" s="1" customFormat="1" ht="18.75" customHeight="1">
      <c r="A1011" s="24" t="s">
        <v>1297</v>
      </c>
      <c r="B1011" s="25" t="s">
        <v>1298</v>
      </c>
      <c r="C1011" s="25"/>
      <c r="D1011" s="25"/>
      <c r="E1011" s="26" t="s">
        <v>1290</v>
      </c>
      <c r="F1011" s="26"/>
      <c r="G1011" s="26"/>
      <c r="H1011" s="26"/>
      <c r="I1011" s="26"/>
      <c r="J1011" s="27" t="s">
        <v>2056</v>
      </c>
      <c r="K1011" s="27"/>
      <c r="L1011" s="27"/>
      <c r="M1011" s="27"/>
      <c r="N1011" s="28">
        <f t="shared" si="10"/>
        <v>2281.99</v>
      </c>
      <c r="O1011" s="28"/>
      <c r="P1011" s="28"/>
      <c r="Q1011" s="27" t="s">
        <v>2032</v>
      </c>
      <c r="R1011" s="27"/>
      <c r="S1011" s="29" t="s">
        <v>2032</v>
      </c>
      <c r="T1011" s="29"/>
      <c r="U1011" s="29"/>
      <c r="V1011" s="29"/>
      <c r="W1011" s="30" t="s">
        <v>2032</v>
      </c>
      <c r="X1011" s="29" t="s">
        <v>2032</v>
      </c>
      <c r="Y1011" s="29"/>
      <c r="Z1011" s="29"/>
      <c r="AA1011" s="29"/>
      <c r="AB1011" s="27" t="s">
        <v>2056</v>
      </c>
      <c r="AC1011" s="27"/>
      <c r="AD1011" s="27"/>
      <c r="AE1011" s="31">
        <f t="shared" si="11"/>
        <v>2281.99</v>
      </c>
      <c r="AF1011" s="31"/>
      <c r="AG1011" s="31"/>
    </row>
    <row r="1012" spans="1:33" s="1" customFormat="1" ht="18.75" customHeight="1">
      <c r="A1012" s="24" t="s">
        <v>1299</v>
      </c>
      <c r="B1012" s="25" t="s">
        <v>1300</v>
      </c>
      <c r="C1012" s="25"/>
      <c r="D1012" s="25"/>
      <c r="E1012" s="26" t="s">
        <v>1290</v>
      </c>
      <c r="F1012" s="26"/>
      <c r="G1012" s="26"/>
      <c r="H1012" s="26"/>
      <c r="I1012" s="26"/>
      <c r="J1012" s="27" t="s">
        <v>2056</v>
      </c>
      <c r="K1012" s="27"/>
      <c r="L1012" s="27"/>
      <c r="M1012" s="27"/>
      <c r="N1012" s="28">
        <f t="shared" si="10"/>
        <v>2281.99</v>
      </c>
      <c r="O1012" s="28"/>
      <c r="P1012" s="28"/>
      <c r="Q1012" s="27" t="s">
        <v>2032</v>
      </c>
      <c r="R1012" s="27"/>
      <c r="S1012" s="29" t="s">
        <v>2032</v>
      </c>
      <c r="T1012" s="29"/>
      <c r="U1012" s="29"/>
      <c r="V1012" s="29"/>
      <c r="W1012" s="30" t="s">
        <v>2032</v>
      </c>
      <c r="X1012" s="29" t="s">
        <v>2032</v>
      </c>
      <c r="Y1012" s="29"/>
      <c r="Z1012" s="29"/>
      <c r="AA1012" s="29"/>
      <c r="AB1012" s="27" t="s">
        <v>2056</v>
      </c>
      <c r="AC1012" s="27"/>
      <c r="AD1012" s="27"/>
      <c r="AE1012" s="31">
        <f t="shared" si="11"/>
        <v>2281.99</v>
      </c>
      <c r="AF1012" s="31"/>
      <c r="AG1012" s="31"/>
    </row>
    <row r="1013" spans="1:33" s="1" customFormat="1" ht="18.75" customHeight="1">
      <c r="A1013" s="24" t="s">
        <v>1301</v>
      </c>
      <c r="B1013" s="25" t="s">
        <v>1302</v>
      </c>
      <c r="C1013" s="25"/>
      <c r="D1013" s="25"/>
      <c r="E1013" s="26" t="s">
        <v>1290</v>
      </c>
      <c r="F1013" s="26"/>
      <c r="G1013" s="26"/>
      <c r="H1013" s="26"/>
      <c r="I1013" s="26"/>
      <c r="J1013" s="27" t="s">
        <v>2056</v>
      </c>
      <c r="K1013" s="27"/>
      <c r="L1013" s="27"/>
      <c r="M1013" s="27"/>
      <c r="N1013" s="28">
        <f t="shared" si="10"/>
        <v>2281.99</v>
      </c>
      <c r="O1013" s="28"/>
      <c r="P1013" s="28"/>
      <c r="Q1013" s="27" t="s">
        <v>2032</v>
      </c>
      <c r="R1013" s="27"/>
      <c r="S1013" s="29" t="s">
        <v>2032</v>
      </c>
      <c r="T1013" s="29"/>
      <c r="U1013" s="29"/>
      <c r="V1013" s="29"/>
      <c r="W1013" s="30" t="s">
        <v>2032</v>
      </c>
      <c r="X1013" s="29" t="s">
        <v>2032</v>
      </c>
      <c r="Y1013" s="29"/>
      <c r="Z1013" s="29"/>
      <c r="AA1013" s="29"/>
      <c r="AB1013" s="27" t="s">
        <v>2056</v>
      </c>
      <c r="AC1013" s="27"/>
      <c r="AD1013" s="27"/>
      <c r="AE1013" s="31">
        <f t="shared" si="11"/>
        <v>2281.99</v>
      </c>
      <c r="AF1013" s="31"/>
      <c r="AG1013" s="31"/>
    </row>
    <row r="1014" spans="1:33" s="1" customFormat="1" ht="18.75" customHeight="1">
      <c r="A1014" s="24" t="s">
        <v>1303</v>
      </c>
      <c r="B1014" s="25" t="s">
        <v>1304</v>
      </c>
      <c r="C1014" s="25"/>
      <c r="D1014" s="25"/>
      <c r="E1014" s="26" t="s">
        <v>1290</v>
      </c>
      <c r="F1014" s="26"/>
      <c r="G1014" s="26"/>
      <c r="H1014" s="26"/>
      <c r="I1014" s="26"/>
      <c r="J1014" s="27" t="s">
        <v>2056</v>
      </c>
      <c r="K1014" s="27"/>
      <c r="L1014" s="27"/>
      <c r="M1014" s="27"/>
      <c r="N1014" s="28">
        <f t="shared" si="10"/>
        <v>2281.99</v>
      </c>
      <c r="O1014" s="28"/>
      <c r="P1014" s="28"/>
      <c r="Q1014" s="27" t="s">
        <v>2032</v>
      </c>
      <c r="R1014" s="27"/>
      <c r="S1014" s="29" t="s">
        <v>2032</v>
      </c>
      <c r="T1014" s="29"/>
      <c r="U1014" s="29"/>
      <c r="V1014" s="29"/>
      <c r="W1014" s="30" t="s">
        <v>2032</v>
      </c>
      <c r="X1014" s="29" t="s">
        <v>2032</v>
      </c>
      <c r="Y1014" s="29"/>
      <c r="Z1014" s="29"/>
      <c r="AA1014" s="29"/>
      <c r="AB1014" s="27" t="s">
        <v>2056</v>
      </c>
      <c r="AC1014" s="27"/>
      <c r="AD1014" s="27"/>
      <c r="AE1014" s="31">
        <f t="shared" si="11"/>
        <v>2281.99</v>
      </c>
      <c r="AF1014" s="31"/>
      <c r="AG1014" s="31"/>
    </row>
    <row r="1015" spans="1:33" s="1" customFormat="1" ht="18.75" customHeight="1">
      <c r="A1015" s="24" t="s">
        <v>1305</v>
      </c>
      <c r="B1015" s="25" t="s">
        <v>1306</v>
      </c>
      <c r="C1015" s="25"/>
      <c r="D1015" s="25"/>
      <c r="E1015" s="26" t="s">
        <v>1290</v>
      </c>
      <c r="F1015" s="26"/>
      <c r="G1015" s="26"/>
      <c r="H1015" s="26"/>
      <c r="I1015" s="26"/>
      <c r="J1015" s="27" t="s">
        <v>2056</v>
      </c>
      <c r="K1015" s="27"/>
      <c r="L1015" s="27"/>
      <c r="M1015" s="27"/>
      <c r="N1015" s="28">
        <f t="shared" si="10"/>
        <v>2281.99</v>
      </c>
      <c r="O1015" s="28"/>
      <c r="P1015" s="28"/>
      <c r="Q1015" s="27" t="s">
        <v>2032</v>
      </c>
      <c r="R1015" s="27"/>
      <c r="S1015" s="29" t="s">
        <v>2032</v>
      </c>
      <c r="T1015" s="29"/>
      <c r="U1015" s="29"/>
      <c r="V1015" s="29"/>
      <c r="W1015" s="30" t="s">
        <v>2032</v>
      </c>
      <c r="X1015" s="29" t="s">
        <v>2032</v>
      </c>
      <c r="Y1015" s="29"/>
      <c r="Z1015" s="29"/>
      <c r="AA1015" s="29"/>
      <c r="AB1015" s="27" t="s">
        <v>2056</v>
      </c>
      <c r="AC1015" s="27"/>
      <c r="AD1015" s="27"/>
      <c r="AE1015" s="31">
        <f t="shared" si="11"/>
        <v>2281.99</v>
      </c>
      <c r="AF1015" s="31"/>
      <c r="AG1015" s="31"/>
    </row>
    <row r="1016" spans="1:33" s="1" customFormat="1" ht="18.75" customHeight="1">
      <c r="A1016" s="24" t="s">
        <v>1307</v>
      </c>
      <c r="B1016" s="25" t="s">
        <v>1308</v>
      </c>
      <c r="C1016" s="25"/>
      <c r="D1016" s="25"/>
      <c r="E1016" s="26" t="s">
        <v>1290</v>
      </c>
      <c r="F1016" s="26"/>
      <c r="G1016" s="26"/>
      <c r="H1016" s="26"/>
      <c r="I1016" s="26"/>
      <c r="J1016" s="27" t="s">
        <v>2056</v>
      </c>
      <c r="K1016" s="27"/>
      <c r="L1016" s="27"/>
      <c r="M1016" s="27"/>
      <c r="N1016" s="28">
        <f t="shared" si="10"/>
        <v>2281.99</v>
      </c>
      <c r="O1016" s="28"/>
      <c r="P1016" s="28"/>
      <c r="Q1016" s="27" t="s">
        <v>2032</v>
      </c>
      <c r="R1016" s="27"/>
      <c r="S1016" s="29" t="s">
        <v>2032</v>
      </c>
      <c r="T1016" s="29"/>
      <c r="U1016" s="29"/>
      <c r="V1016" s="29"/>
      <c r="W1016" s="30" t="s">
        <v>2032</v>
      </c>
      <c r="X1016" s="29" t="s">
        <v>2032</v>
      </c>
      <c r="Y1016" s="29"/>
      <c r="Z1016" s="29"/>
      <c r="AA1016" s="29"/>
      <c r="AB1016" s="27" t="s">
        <v>2056</v>
      </c>
      <c r="AC1016" s="27"/>
      <c r="AD1016" s="27"/>
      <c r="AE1016" s="31">
        <f t="shared" si="11"/>
        <v>2281.99</v>
      </c>
      <c r="AF1016" s="31"/>
      <c r="AG1016" s="31"/>
    </row>
    <row r="1017" spans="1:33" s="1" customFormat="1" ht="18.75" customHeight="1">
      <c r="A1017" s="24" t="s">
        <v>1309</v>
      </c>
      <c r="B1017" s="25" t="s">
        <v>1310</v>
      </c>
      <c r="C1017" s="25"/>
      <c r="D1017" s="25"/>
      <c r="E1017" s="26" t="s">
        <v>1290</v>
      </c>
      <c r="F1017" s="26"/>
      <c r="G1017" s="26"/>
      <c r="H1017" s="26"/>
      <c r="I1017" s="26"/>
      <c r="J1017" s="27" t="s">
        <v>2056</v>
      </c>
      <c r="K1017" s="27"/>
      <c r="L1017" s="27"/>
      <c r="M1017" s="27"/>
      <c r="N1017" s="28">
        <f t="shared" si="10"/>
        <v>2281.99</v>
      </c>
      <c r="O1017" s="28"/>
      <c r="P1017" s="28"/>
      <c r="Q1017" s="27" t="s">
        <v>2032</v>
      </c>
      <c r="R1017" s="27"/>
      <c r="S1017" s="29" t="s">
        <v>2032</v>
      </c>
      <c r="T1017" s="29"/>
      <c r="U1017" s="29"/>
      <c r="V1017" s="29"/>
      <c r="W1017" s="30" t="s">
        <v>2032</v>
      </c>
      <c r="X1017" s="29" t="s">
        <v>2032</v>
      </c>
      <c r="Y1017" s="29"/>
      <c r="Z1017" s="29"/>
      <c r="AA1017" s="29"/>
      <c r="AB1017" s="27" t="s">
        <v>2056</v>
      </c>
      <c r="AC1017" s="27"/>
      <c r="AD1017" s="27"/>
      <c r="AE1017" s="31">
        <f t="shared" si="11"/>
        <v>2281.99</v>
      </c>
      <c r="AF1017" s="31"/>
      <c r="AG1017" s="31"/>
    </row>
    <row r="1018" spans="1:33" s="1" customFormat="1" ht="18.75" customHeight="1">
      <c r="A1018" s="24" t="s">
        <v>1311</v>
      </c>
      <c r="B1018" s="25" t="s">
        <v>1312</v>
      </c>
      <c r="C1018" s="25"/>
      <c r="D1018" s="25"/>
      <c r="E1018" s="26" t="s">
        <v>1290</v>
      </c>
      <c r="F1018" s="26"/>
      <c r="G1018" s="26"/>
      <c r="H1018" s="26"/>
      <c r="I1018" s="26"/>
      <c r="J1018" s="27" t="s">
        <v>2056</v>
      </c>
      <c r="K1018" s="27"/>
      <c r="L1018" s="27"/>
      <c r="M1018" s="27"/>
      <c r="N1018" s="28">
        <f t="shared" si="10"/>
        <v>2281.99</v>
      </c>
      <c r="O1018" s="28"/>
      <c r="P1018" s="28"/>
      <c r="Q1018" s="27" t="s">
        <v>2032</v>
      </c>
      <c r="R1018" s="27"/>
      <c r="S1018" s="29" t="s">
        <v>2032</v>
      </c>
      <c r="T1018" s="29"/>
      <c r="U1018" s="29"/>
      <c r="V1018" s="29"/>
      <c r="W1018" s="30" t="s">
        <v>2032</v>
      </c>
      <c r="X1018" s="29" t="s">
        <v>2032</v>
      </c>
      <c r="Y1018" s="29"/>
      <c r="Z1018" s="29"/>
      <c r="AA1018" s="29"/>
      <c r="AB1018" s="27" t="s">
        <v>2056</v>
      </c>
      <c r="AC1018" s="27"/>
      <c r="AD1018" s="27"/>
      <c r="AE1018" s="31">
        <f t="shared" si="11"/>
        <v>2281.99</v>
      </c>
      <c r="AF1018" s="31"/>
      <c r="AG1018" s="31"/>
    </row>
    <row r="1019" spans="1:33" s="1" customFormat="1" ht="18.75" customHeight="1">
      <c r="A1019" s="24" t="s">
        <v>1313</v>
      </c>
      <c r="B1019" s="25" t="s">
        <v>1314</v>
      </c>
      <c r="C1019" s="25"/>
      <c r="D1019" s="25"/>
      <c r="E1019" s="26" t="s">
        <v>1290</v>
      </c>
      <c r="F1019" s="26"/>
      <c r="G1019" s="26"/>
      <c r="H1019" s="26"/>
      <c r="I1019" s="26"/>
      <c r="J1019" s="27" t="s">
        <v>2056</v>
      </c>
      <c r="K1019" s="27"/>
      <c r="L1019" s="27"/>
      <c r="M1019" s="27"/>
      <c r="N1019" s="28">
        <f t="shared" si="10"/>
        <v>2281.99</v>
      </c>
      <c r="O1019" s="28"/>
      <c r="P1019" s="28"/>
      <c r="Q1019" s="27" t="s">
        <v>2032</v>
      </c>
      <c r="R1019" s="27"/>
      <c r="S1019" s="29" t="s">
        <v>2032</v>
      </c>
      <c r="T1019" s="29"/>
      <c r="U1019" s="29"/>
      <c r="V1019" s="29"/>
      <c r="W1019" s="30" t="s">
        <v>2032</v>
      </c>
      <c r="X1019" s="29" t="s">
        <v>2032</v>
      </c>
      <c r="Y1019" s="29"/>
      <c r="Z1019" s="29"/>
      <c r="AA1019" s="29"/>
      <c r="AB1019" s="27" t="s">
        <v>2056</v>
      </c>
      <c r="AC1019" s="27"/>
      <c r="AD1019" s="27"/>
      <c r="AE1019" s="31">
        <f t="shared" si="11"/>
        <v>2281.99</v>
      </c>
      <c r="AF1019" s="31"/>
      <c r="AG1019" s="31"/>
    </row>
    <row r="1020" spans="1:33" s="1" customFormat="1" ht="18.75" customHeight="1">
      <c r="A1020" s="24" t="s">
        <v>1315</v>
      </c>
      <c r="B1020" s="25" t="s">
        <v>1316</v>
      </c>
      <c r="C1020" s="25"/>
      <c r="D1020" s="25"/>
      <c r="E1020" s="26" t="s">
        <v>1290</v>
      </c>
      <c r="F1020" s="26"/>
      <c r="G1020" s="26"/>
      <c r="H1020" s="26"/>
      <c r="I1020" s="26"/>
      <c r="J1020" s="27" t="s">
        <v>2056</v>
      </c>
      <c r="K1020" s="27"/>
      <c r="L1020" s="27"/>
      <c r="M1020" s="27"/>
      <c r="N1020" s="28">
        <f t="shared" si="10"/>
        <v>2281.99</v>
      </c>
      <c r="O1020" s="28"/>
      <c r="P1020" s="28"/>
      <c r="Q1020" s="27" t="s">
        <v>2032</v>
      </c>
      <c r="R1020" s="27"/>
      <c r="S1020" s="29" t="s">
        <v>2032</v>
      </c>
      <c r="T1020" s="29"/>
      <c r="U1020" s="29"/>
      <c r="V1020" s="29"/>
      <c r="W1020" s="30" t="s">
        <v>2032</v>
      </c>
      <c r="X1020" s="29" t="s">
        <v>2032</v>
      </c>
      <c r="Y1020" s="29"/>
      <c r="Z1020" s="29"/>
      <c r="AA1020" s="29"/>
      <c r="AB1020" s="27" t="s">
        <v>2056</v>
      </c>
      <c r="AC1020" s="27"/>
      <c r="AD1020" s="27"/>
      <c r="AE1020" s="31">
        <f t="shared" si="11"/>
        <v>2281.99</v>
      </c>
      <c r="AF1020" s="31"/>
      <c r="AG1020" s="31"/>
    </row>
    <row r="1021" spans="1:33" s="1" customFormat="1" ht="18.75" customHeight="1">
      <c r="A1021" s="24" t="s">
        <v>1317</v>
      </c>
      <c r="B1021" s="25" t="s">
        <v>1318</v>
      </c>
      <c r="C1021" s="25"/>
      <c r="D1021" s="25"/>
      <c r="E1021" s="26" t="s">
        <v>1290</v>
      </c>
      <c r="F1021" s="26"/>
      <c r="G1021" s="26"/>
      <c r="H1021" s="26"/>
      <c r="I1021" s="26"/>
      <c r="J1021" s="27" t="s">
        <v>2056</v>
      </c>
      <c r="K1021" s="27"/>
      <c r="L1021" s="27"/>
      <c r="M1021" s="27"/>
      <c r="N1021" s="28">
        <f>2282.08</f>
        <v>2282.08</v>
      </c>
      <c r="O1021" s="28"/>
      <c r="P1021" s="28"/>
      <c r="Q1021" s="27" t="s">
        <v>2032</v>
      </c>
      <c r="R1021" s="27"/>
      <c r="S1021" s="29" t="s">
        <v>2032</v>
      </c>
      <c r="T1021" s="29"/>
      <c r="U1021" s="29"/>
      <c r="V1021" s="29"/>
      <c r="W1021" s="30" t="s">
        <v>2032</v>
      </c>
      <c r="X1021" s="29" t="s">
        <v>2032</v>
      </c>
      <c r="Y1021" s="29"/>
      <c r="Z1021" s="29"/>
      <c r="AA1021" s="29"/>
      <c r="AB1021" s="27" t="s">
        <v>2056</v>
      </c>
      <c r="AC1021" s="27"/>
      <c r="AD1021" s="27"/>
      <c r="AE1021" s="31">
        <f>2282.08</f>
        <v>2282.08</v>
      </c>
      <c r="AF1021" s="31"/>
      <c r="AG1021" s="31"/>
    </row>
    <row r="1022" spans="1:33" s="1" customFormat="1" ht="18.75" customHeight="1">
      <c r="A1022" s="24" t="s">
        <v>1319</v>
      </c>
      <c r="B1022" s="25" t="s">
        <v>1320</v>
      </c>
      <c r="C1022" s="25"/>
      <c r="D1022" s="25"/>
      <c r="E1022" s="26" t="s">
        <v>1321</v>
      </c>
      <c r="F1022" s="26"/>
      <c r="G1022" s="26"/>
      <c r="H1022" s="26"/>
      <c r="I1022" s="26"/>
      <c r="J1022" s="27" t="s">
        <v>2056</v>
      </c>
      <c r="K1022" s="27"/>
      <c r="L1022" s="27"/>
      <c r="M1022" s="27"/>
      <c r="N1022" s="28">
        <f>500</f>
        <v>500</v>
      </c>
      <c r="O1022" s="28"/>
      <c r="P1022" s="28"/>
      <c r="Q1022" s="27" t="s">
        <v>2032</v>
      </c>
      <c r="R1022" s="27"/>
      <c r="S1022" s="29" t="s">
        <v>2032</v>
      </c>
      <c r="T1022" s="29"/>
      <c r="U1022" s="29"/>
      <c r="V1022" s="29"/>
      <c r="W1022" s="30" t="s">
        <v>2032</v>
      </c>
      <c r="X1022" s="29" t="s">
        <v>2032</v>
      </c>
      <c r="Y1022" s="29"/>
      <c r="Z1022" s="29"/>
      <c r="AA1022" s="29"/>
      <c r="AB1022" s="27" t="s">
        <v>2056</v>
      </c>
      <c r="AC1022" s="27"/>
      <c r="AD1022" s="27"/>
      <c r="AE1022" s="31">
        <f>500</f>
        <v>500</v>
      </c>
      <c r="AF1022" s="31"/>
      <c r="AG1022" s="31"/>
    </row>
    <row r="1023" spans="1:33" s="1" customFormat="1" ht="18.75" customHeight="1">
      <c r="A1023" s="24" t="s">
        <v>1322</v>
      </c>
      <c r="B1023" s="25" t="s">
        <v>1323</v>
      </c>
      <c r="C1023" s="25"/>
      <c r="D1023" s="25"/>
      <c r="E1023" s="26" t="s">
        <v>1324</v>
      </c>
      <c r="F1023" s="26"/>
      <c r="G1023" s="26"/>
      <c r="H1023" s="26"/>
      <c r="I1023" s="26"/>
      <c r="J1023" s="27" t="s">
        <v>2056</v>
      </c>
      <c r="K1023" s="27"/>
      <c r="L1023" s="27"/>
      <c r="M1023" s="27"/>
      <c r="N1023" s="28">
        <f>1812.6</f>
        <v>1812.6</v>
      </c>
      <c r="O1023" s="28"/>
      <c r="P1023" s="28"/>
      <c r="Q1023" s="27" t="s">
        <v>2032</v>
      </c>
      <c r="R1023" s="27"/>
      <c r="S1023" s="29" t="s">
        <v>2032</v>
      </c>
      <c r="T1023" s="29"/>
      <c r="U1023" s="29"/>
      <c r="V1023" s="29"/>
      <c r="W1023" s="30" t="s">
        <v>2032</v>
      </c>
      <c r="X1023" s="29" t="s">
        <v>2032</v>
      </c>
      <c r="Y1023" s="29"/>
      <c r="Z1023" s="29"/>
      <c r="AA1023" s="29"/>
      <c r="AB1023" s="27" t="s">
        <v>2056</v>
      </c>
      <c r="AC1023" s="27"/>
      <c r="AD1023" s="27"/>
      <c r="AE1023" s="31">
        <f>1812.6</f>
        <v>1812.6</v>
      </c>
      <c r="AF1023" s="31"/>
      <c r="AG1023" s="31"/>
    </row>
    <row r="1024" spans="1:33" s="1" customFormat="1" ht="18.75" customHeight="1">
      <c r="A1024" s="24" t="s">
        <v>1325</v>
      </c>
      <c r="B1024" s="25" t="s">
        <v>1326</v>
      </c>
      <c r="C1024" s="25"/>
      <c r="D1024" s="25"/>
      <c r="E1024" s="26" t="s">
        <v>1324</v>
      </c>
      <c r="F1024" s="26"/>
      <c r="G1024" s="26"/>
      <c r="H1024" s="26"/>
      <c r="I1024" s="26"/>
      <c r="J1024" s="27" t="s">
        <v>2056</v>
      </c>
      <c r="K1024" s="27"/>
      <c r="L1024" s="27"/>
      <c r="M1024" s="27"/>
      <c r="N1024" s="28">
        <f>1812.6</f>
        <v>1812.6</v>
      </c>
      <c r="O1024" s="28"/>
      <c r="P1024" s="28"/>
      <c r="Q1024" s="27" t="s">
        <v>2032</v>
      </c>
      <c r="R1024" s="27"/>
      <c r="S1024" s="29" t="s">
        <v>2032</v>
      </c>
      <c r="T1024" s="29"/>
      <c r="U1024" s="29"/>
      <c r="V1024" s="29"/>
      <c r="W1024" s="30" t="s">
        <v>2032</v>
      </c>
      <c r="X1024" s="29" t="s">
        <v>2032</v>
      </c>
      <c r="Y1024" s="29"/>
      <c r="Z1024" s="29"/>
      <c r="AA1024" s="29"/>
      <c r="AB1024" s="27" t="s">
        <v>2056</v>
      </c>
      <c r="AC1024" s="27"/>
      <c r="AD1024" s="27"/>
      <c r="AE1024" s="31">
        <f>1812.6</f>
        <v>1812.6</v>
      </c>
      <c r="AF1024" s="31"/>
      <c r="AG1024" s="31"/>
    </row>
    <row r="1025" spans="1:33" s="1" customFormat="1" ht="18.75" customHeight="1">
      <c r="A1025" s="24" t="s">
        <v>1327</v>
      </c>
      <c r="B1025" s="25" t="s">
        <v>1328</v>
      </c>
      <c r="C1025" s="25"/>
      <c r="D1025" s="25"/>
      <c r="E1025" s="26" t="s">
        <v>1329</v>
      </c>
      <c r="F1025" s="26"/>
      <c r="G1025" s="26"/>
      <c r="H1025" s="26"/>
      <c r="I1025" s="26"/>
      <c r="J1025" s="27" t="s">
        <v>2056</v>
      </c>
      <c r="K1025" s="27"/>
      <c r="L1025" s="27"/>
      <c r="M1025" s="27"/>
      <c r="N1025" s="28">
        <f>2589.4</f>
        <v>2589.4</v>
      </c>
      <c r="O1025" s="28"/>
      <c r="P1025" s="28"/>
      <c r="Q1025" s="27" t="s">
        <v>2032</v>
      </c>
      <c r="R1025" s="27"/>
      <c r="S1025" s="29" t="s">
        <v>2032</v>
      </c>
      <c r="T1025" s="29"/>
      <c r="U1025" s="29"/>
      <c r="V1025" s="29"/>
      <c r="W1025" s="30" t="s">
        <v>2032</v>
      </c>
      <c r="X1025" s="29" t="s">
        <v>2032</v>
      </c>
      <c r="Y1025" s="29"/>
      <c r="Z1025" s="29"/>
      <c r="AA1025" s="29"/>
      <c r="AB1025" s="27" t="s">
        <v>2056</v>
      </c>
      <c r="AC1025" s="27"/>
      <c r="AD1025" s="27"/>
      <c r="AE1025" s="31">
        <f>2589.4</f>
        <v>2589.4</v>
      </c>
      <c r="AF1025" s="31"/>
      <c r="AG1025" s="31"/>
    </row>
    <row r="1026" spans="1:33" s="1" customFormat="1" ht="18.75" customHeight="1">
      <c r="A1026" s="24" t="s">
        <v>1330</v>
      </c>
      <c r="B1026" s="25" t="s">
        <v>1331</v>
      </c>
      <c r="C1026" s="25"/>
      <c r="D1026" s="25"/>
      <c r="E1026" s="26" t="s">
        <v>1332</v>
      </c>
      <c r="F1026" s="26"/>
      <c r="G1026" s="26"/>
      <c r="H1026" s="26"/>
      <c r="I1026" s="26"/>
      <c r="J1026" s="27" t="s">
        <v>2056</v>
      </c>
      <c r="K1026" s="27"/>
      <c r="L1026" s="27"/>
      <c r="M1026" s="27"/>
      <c r="N1026" s="28">
        <f aca="true" t="shared" si="12" ref="N1026:N1031">1600</f>
        <v>1600</v>
      </c>
      <c r="O1026" s="28"/>
      <c r="P1026" s="28"/>
      <c r="Q1026" s="27" t="s">
        <v>2032</v>
      </c>
      <c r="R1026" s="27"/>
      <c r="S1026" s="29" t="s">
        <v>2032</v>
      </c>
      <c r="T1026" s="29"/>
      <c r="U1026" s="29"/>
      <c r="V1026" s="29"/>
      <c r="W1026" s="30" t="s">
        <v>2032</v>
      </c>
      <c r="X1026" s="29" t="s">
        <v>2032</v>
      </c>
      <c r="Y1026" s="29"/>
      <c r="Z1026" s="29"/>
      <c r="AA1026" s="29"/>
      <c r="AB1026" s="27" t="s">
        <v>2056</v>
      </c>
      <c r="AC1026" s="27"/>
      <c r="AD1026" s="27"/>
      <c r="AE1026" s="31">
        <f aca="true" t="shared" si="13" ref="AE1026:AE1031">1600</f>
        <v>1600</v>
      </c>
      <c r="AF1026" s="31"/>
      <c r="AG1026" s="31"/>
    </row>
    <row r="1027" spans="1:33" s="1" customFormat="1" ht="18.75" customHeight="1">
      <c r="A1027" s="24" t="s">
        <v>1333</v>
      </c>
      <c r="B1027" s="25" t="s">
        <v>1334</v>
      </c>
      <c r="C1027" s="25"/>
      <c r="D1027" s="25"/>
      <c r="E1027" s="26" t="s">
        <v>1332</v>
      </c>
      <c r="F1027" s="26"/>
      <c r="G1027" s="26"/>
      <c r="H1027" s="26"/>
      <c r="I1027" s="26"/>
      <c r="J1027" s="27" t="s">
        <v>2056</v>
      </c>
      <c r="K1027" s="27"/>
      <c r="L1027" s="27"/>
      <c r="M1027" s="27"/>
      <c r="N1027" s="28">
        <f t="shared" si="12"/>
        <v>1600</v>
      </c>
      <c r="O1027" s="28"/>
      <c r="P1027" s="28"/>
      <c r="Q1027" s="27" t="s">
        <v>2032</v>
      </c>
      <c r="R1027" s="27"/>
      <c r="S1027" s="29" t="s">
        <v>2032</v>
      </c>
      <c r="T1027" s="29"/>
      <c r="U1027" s="29"/>
      <c r="V1027" s="29"/>
      <c r="W1027" s="30" t="s">
        <v>2032</v>
      </c>
      <c r="X1027" s="29" t="s">
        <v>2032</v>
      </c>
      <c r="Y1027" s="29"/>
      <c r="Z1027" s="29"/>
      <c r="AA1027" s="29"/>
      <c r="AB1027" s="27" t="s">
        <v>2056</v>
      </c>
      <c r="AC1027" s="27"/>
      <c r="AD1027" s="27"/>
      <c r="AE1027" s="31">
        <f t="shared" si="13"/>
        <v>1600</v>
      </c>
      <c r="AF1027" s="31"/>
      <c r="AG1027" s="31"/>
    </row>
    <row r="1028" spans="1:33" s="1" customFormat="1" ht="18.75" customHeight="1">
      <c r="A1028" s="24" t="s">
        <v>1335</v>
      </c>
      <c r="B1028" s="25" t="s">
        <v>1336</v>
      </c>
      <c r="C1028" s="25"/>
      <c r="D1028" s="25"/>
      <c r="E1028" s="26" t="s">
        <v>1332</v>
      </c>
      <c r="F1028" s="26"/>
      <c r="G1028" s="26"/>
      <c r="H1028" s="26"/>
      <c r="I1028" s="26"/>
      <c r="J1028" s="27" t="s">
        <v>2056</v>
      </c>
      <c r="K1028" s="27"/>
      <c r="L1028" s="27"/>
      <c r="M1028" s="27"/>
      <c r="N1028" s="28">
        <f t="shared" si="12"/>
        <v>1600</v>
      </c>
      <c r="O1028" s="28"/>
      <c r="P1028" s="28"/>
      <c r="Q1028" s="27" t="s">
        <v>2032</v>
      </c>
      <c r="R1028" s="27"/>
      <c r="S1028" s="29" t="s">
        <v>2032</v>
      </c>
      <c r="T1028" s="29"/>
      <c r="U1028" s="29"/>
      <c r="V1028" s="29"/>
      <c r="W1028" s="30" t="s">
        <v>2032</v>
      </c>
      <c r="X1028" s="29" t="s">
        <v>2032</v>
      </c>
      <c r="Y1028" s="29"/>
      <c r="Z1028" s="29"/>
      <c r="AA1028" s="29"/>
      <c r="AB1028" s="27" t="s">
        <v>2056</v>
      </c>
      <c r="AC1028" s="27"/>
      <c r="AD1028" s="27"/>
      <c r="AE1028" s="31">
        <f t="shared" si="13"/>
        <v>1600</v>
      </c>
      <c r="AF1028" s="31"/>
      <c r="AG1028" s="31"/>
    </row>
    <row r="1029" spans="1:33" s="1" customFormat="1" ht="18.75" customHeight="1">
      <c r="A1029" s="24" t="s">
        <v>1337</v>
      </c>
      <c r="B1029" s="25" t="s">
        <v>1338</v>
      </c>
      <c r="C1029" s="25"/>
      <c r="D1029" s="25"/>
      <c r="E1029" s="26" t="s">
        <v>1332</v>
      </c>
      <c r="F1029" s="26"/>
      <c r="G1029" s="26"/>
      <c r="H1029" s="26"/>
      <c r="I1029" s="26"/>
      <c r="J1029" s="27" t="s">
        <v>2056</v>
      </c>
      <c r="K1029" s="27"/>
      <c r="L1029" s="27"/>
      <c r="M1029" s="27"/>
      <c r="N1029" s="28">
        <f t="shared" si="12"/>
        <v>1600</v>
      </c>
      <c r="O1029" s="28"/>
      <c r="P1029" s="28"/>
      <c r="Q1029" s="27" t="s">
        <v>2032</v>
      </c>
      <c r="R1029" s="27"/>
      <c r="S1029" s="29" t="s">
        <v>2032</v>
      </c>
      <c r="T1029" s="29"/>
      <c r="U1029" s="29"/>
      <c r="V1029" s="29"/>
      <c r="W1029" s="30" t="s">
        <v>2032</v>
      </c>
      <c r="X1029" s="29" t="s">
        <v>2032</v>
      </c>
      <c r="Y1029" s="29"/>
      <c r="Z1029" s="29"/>
      <c r="AA1029" s="29"/>
      <c r="AB1029" s="27" t="s">
        <v>2056</v>
      </c>
      <c r="AC1029" s="27"/>
      <c r="AD1029" s="27"/>
      <c r="AE1029" s="31">
        <f t="shared" si="13"/>
        <v>1600</v>
      </c>
      <c r="AF1029" s="31"/>
      <c r="AG1029" s="31"/>
    </row>
    <row r="1030" spans="1:33" s="1" customFormat="1" ht="18.75" customHeight="1">
      <c r="A1030" s="24" t="s">
        <v>1339</v>
      </c>
      <c r="B1030" s="25" t="s">
        <v>1340</v>
      </c>
      <c r="C1030" s="25"/>
      <c r="D1030" s="25"/>
      <c r="E1030" s="26" t="s">
        <v>1332</v>
      </c>
      <c r="F1030" s="26"/>
      <c r="G1030" s="26"/>
      <c r="H1030" s="26"/>
      <c r="I1030" s="26"/>
      <c r="J1030" s="27" t="s">
        <v>2056</v>
      </c>
      <c r="K1030" s="27"/>
      <c r="L1030" s="27"/>
      <c r="M1030" s="27"/>
      <c r="N1030" s="28">
        <f t="shared" si="12"/>
        <v>1600</v>
      </c>
      <c r="O1030" s="28"/>
      <c r="P1030" s="28"/>
      <c r="Q1030" s="27" t="s">
        <v>2032</v>
      </c>
      <c r="R1030" s="27"/>
      <c r="S1030" s="29" t="s">
        <v>2032</v>
      </c>
      <c r="T1030" s="29"/>
      <c r="U1030" s="29"/>
      <c r="V1030" s="29"/>
      <c r="W1030" s="30" t="s">
        <v>2032</v>
      </c>
      <c r="X1030" s="29" t="s">
        <v>2032</v>
      </c>
      <c r="Y1030" s="29"/>
      <c r="Z1030" s="29"/>
      <c r="AA1030" s="29"/>
      <c r="AB1030" s="27" t="s">
        <v>2056</v>
      </c>
      <c r="AC1030" s="27"/>
      <c r="AD1030" s="27"/>
      <c r="AE1030" s="31">
        <f t="shared" si="13"/>
        <v>1600</v>
      </c>
      <c r="AF1030" s="31"/>
      <c r="AG1030" s="31"/>
    </row>
    <row r="1031" spans="1:33" s="1" customFormat="1" ht="18.75" customHeight="1">
      <c r="A1031" s="24" t="s">
        <v>1341</v>
      </c>
      <c r="B1031" s="25" t="s">
        <v>1342</v>
      </c>
      <c r="C1031" s="25"/>
      <c r="D1031" s="25"/>
      <c r="E1031" s="26" t="s">
        <v>1332</v>
      </c>
      <c r="F1031" s="26"/>
      <c r="G1031" s="26"/>
      <c r="H1031" s="26"/>
      <c r="I1031" s="26"/>
      <c r="J1031" s="27" t="s">
        <v>2056</v>
      </c>
      <c r="K1031" s="27"/>
      <c r="L1031" s="27"/>
      <c r="M1031" s="27"/>
      <c r="N1031" s="28">
        <f t="shared" si="12"/>
        <v>1600</v>
      </c>
      <c r="O1031" s="28"/>
      <c r="P1031" s="28"/>
      <c r="Q1031" s="27" t="s">
        <v>2032</v>
      </c>
      <c r="R1031" s="27"/>
      <c r="S1031" s="29" t="s">
        <v>2032</v>
      </c>
      <c r="T1031" s="29"/>
      <c r="U1031" s="29"/>
      <c r="V1031" s="29"/>
      <c r="W1031" s="30" t="s">
        <v>2032</v>
      </c>
      <c r="X1031" s="29" t="s">
        <v>2032</v>
      </c>
      <c r="Y1031" s="29"/>
      <c r="Z1031" s="29"/>
      <c r="AA1031" s="29"/>
      <c r="AB1031" s="27" t="s">
        <v>2056</v>
      </c>
      <c r="AC1031" s="27"/>
      <c r="AD1031" s="27"/>
      <c r="AE1031" s="31">
        <f t="shared" si="13"/>
        <v>1600</v>
      </c>
      <c r="AF1031" s="31"/>
      <c r="AG1031" s="31"/>
    </row>
    <row r="1032" spans="1:33" s="1" customFormat="1" ht="18.75" customHeight="1">
      <c r="A1032" s="24" t="s">
        <v>1343</v>
      </c>
      <c r="B1032" s="25" t="s">
        <v>1344</v>
      </c>
      <c r="C1032" s="25"/>
      <c r="D1032" s="25"/>
      <c r="E1032" s="26" t="s">
        <v>1345</v>
      </c>
      <c r="F1032" s="26"/>
      <c r="G1032" s="26"/>
      <c r="H1032" s="26"/>
      <c r="I1032" s="26"/>
      <c r="J1032" s="27" t="s">
        <v>2066</v>
      </c>
      <c r="K1032" s="27"/>
      <c r="L1032" s="27"/>
      <c r="M1032" s="27"/>
      <c r="N1032" s="28">
        <f>10450</f>
        <v>10450</v>
      </c>
      <c r="O1032" s="28"/>
      <c r="P1032" s="28"/>
      <c r="Q1032" s="27" t="s">
        <v>2032</v>
      </c>
      <c r="R1032" s="27"/>
      <c r="S1032" s="29" t="s">
        <v>2032</v>
      </c>
      <c r="T1032" s="29"/>
      <c r="U1032" s="29"/>
      <c r="V1032" s="29"/>
      <c r="W1032" s="30" t="s">
        <v>2032</v>
      </c>
      <c r="X1032" s="29" t="s">
        <v>2032</v>
      </c>
      <c r="Y1032" s="29"/>
      <c r="Z1032" s="29"/>
      <c r="AA1032" s="29"/>
      <c r="AB1032" s="27" t="s">
        <v>2066</v>
      </c>
      <c r="AC1032" s="27"/>
      <c r="AD1032" s="27"/>
      <c r="AE1032" s="31">
        <f>10450</f>
        <v>10450</v>
      </c>
      <c r="AF1032" s="31"/>
      <c r="AG1032" s="31"/>
    </row>
    <row r="1033" spans="1:33" s="1" customFormat="1" ht="18.75" customHeight="1">
      <c r="A1033" s="24" t="s">
        <v>1346</v>
      </c>
      <c r="B1033" s="25" t="s">
        <v>1347</v>
      </c>
      <c r="C1033" s="25"/>
      <c r="D1033" s="25"/>
      <c r="E1033" s="26" t="s">
        <v>1348</v>
      </c>
      <c r="F1033" s="26"/>
      <c r="G1033" s="26"/>
      <c r="H1033" s="26"/>
      <c r="I1033" s="26"/>
      <c r="J1033" s="27" t="s">
        <v>2056</v>
      </c>
      <c r="K1033" s="27"/>
      <c r="L1033" s="27"/>
      <c r="M1033" s="27"/>
      <c r="N1033" s="28">
        <f>2503.8</f>
        <v>2503.8</v>
      </c>
      <c r="O1033" s="28"/>
      <c r="P1033" s="28"/>
      <c r="Q1033" s="27" t="s">
        <v>2032</v>
      </c>
      <c r="R1033" s="27"/>
      <c r="S1033" s="29" t="s">
        <v>2032</v>
      </c>
      <c r="T1033" s="29"/>
      <c r="U1033" s="29"/>
      <c r="V1033" s="29"/>
      <c r="W1033" s="30" t="s">
        <v>2032</v>
      </c>
      <c r="X1033" s="29" t="s">
        <v>2032</v>
      </c>
      <c r="Y1033" s="29"/>
      <c r="Z1033" s="29"/>
      <c r="AA1033" s="29"/>
      <c r="AB1033" s="27" t="s">
        <v>2056</v>
      </c>
      <c r="AC1033" s="27"/>
      <c r="AD1033" s="27"/>
      <c r="AE1033" s="31">
        <f>2503.8</f>
        <v>2503.8</v>
      </c>
      <c r="AF1033" s="31"/>
      <c r="AG1033" s="31"/>
    </row>
    <row r="1034" spans="1:33" s="1" customFormat="1" ht="18.75" customHeight="1">
      <c r="A1034" s="24" t="s">
        <v>1349</v>
      </c>
      <c r="B1034" s="25" t="s">
        <v>1350</v>
      </c>
      <c r="C1034" s="25"/>
      <c r="D1034" s="25"/>
      <c r="E1034" s="26" t="s">
        <v>1351</v>
      </c>
      <c r="F1034" s="26"/>
      <c r="G1034" s="26"/>
      <c r="H1034" s="26"/>
      <c r="I1034" s="26"/>
      <c r="J1034" s="27" t="s">
        <v>2056</v>
      </c>
      <c r="K1034" s="27"/>
      <c r="L1034" s="27"/>
      <c r="M1034" s="27"/>
      <c r="N1034" s="28">
        <f>1455.2</f>
        <v>1455.2</v>
      </c>
      <c r="O1034" s="28"/>
      <c r="P1034" s="28"/>
      <c r="Q1034" s="27" t="s">
        <v>2032</v>
      </c>
      <c r="R1034" s="27"/>
      <c r="S1034" s="29" t="s">
        <v>2032</v>
      </c>
      <c r="T1034" s="29"/>
      <c r="U1034" s="29"/>
      <c r="V1034" s="29"/>
      <c r="W1034" s="30" t="s">
        <v>2032</v>
      </c>
      <c r="X1034" s="29" t="s">
        <v>2032</v>
      </c>
      <c r="Y1034" s="29"/>
      <c r="Z1034" s="29"/>
      <c r="AA1034" s="29"/>
      <c r="AB1034" s="27" t="s">
        <v>2056</v>
      </c>
      <c r="AC1034" s="27"/>
      <c r="AD1034" s="27"/>
      <c r="AE1034" s="31">
        <f>1455.2</f>
        <v>1455.2</v>
      </c>
      <c r="AF1034" s="31"/>
      <c r="AG1034" s="31"/>
    </row>
    <row r="1035" spans="1:33" s="1" customFormat="1" ht="18.75" customHeight="1">
      <c r="A1035" s="24" t="s">
        <v>1352</v>
      </c>
      <c r="B1035" s="25" t="s">
        <v>1353</v>
      </c>
      <c r="C1035" s="25"/>
      <c r="D1035" s="25"/>
      <c r="E1035" s="26" t="s">
        <v>1351</v>
      </c>
      <c r="F1035" s="26"/>
      <c r="G1035" s="26"/>
      <c r="H1035" s="26"/>
      <c r="I1035" s="26"/>
      <c r="J1035" s="27" t="s">
        <v>2056</v>
      </c>
      <c r="K1035" s="27"/>
      <c r="L1035" s="27"/>
      <c r="M1035" s="27"/>
      <c r="N1035" s="28">
        <f>1455.2</f>
        <v>1455.2</v>
      </c>
      <c r="O1035" s="28"/>
      <c r="P1035" s="28"/>
      <c r="Q1035" s="27" t="s">
        <v>2032</v>
      </c>
      <c r="R1035" s="27"/>
      <c r="S1035" s="29" t="s">
        <v>2032</v>
      </c>
      <c r="T1035" s="29"/>
      <c r="U1035" s="29"/>
      <c r="V1035" s="29"/>
      <c r="W1035" s="30" t="s">
        <v>2032</v>
      </c>
      <c r="X1035" s="29" t="s">
        <v>2032</v>
      </c>
      <c r="Y1035" s="29"/>
      <c r="Z1035" s="29"/>
      <c r="AA1035" s="29"/>
      <c r="AB1035" s="27" t="s">
        <v>2056</v>
      </c>
      <c r="AC1035" s="27"/>
      <c r="AD1035" s="27"/>
      <c r="AE1035" s="31">
        <f>1455.2</f>
        <v>1455.2</v>
      </c>
      <c r="AF1035" s="31"/>
      <c r="AG1035" s="31"/>
    </row>
    <row r="1036" spans="1:33" s="1" customFormat="1" ht="18.75" customHeight="1">
      <c r="A1036" s="24" t="s">
        <v>1354</v>
      </c>
      <c r="B1036" s="25" t="s">
        <v>1355</v>
      </c>
      <c r="C1036" s="25"/>
      <c r="D1036" s="25"/>
      <c r="E1036" s="26" t="s">
        <v>1351</v>
      </c>
      <c r="F1036" s="26"/>
      <c r="G1036" s="26"/>
      <c r="H1036" s="26"/>
      <c r="I1036" s="26"/>
      <c r="J1036" s="27" t="s">
        <v>2056</v>
      </c>
      <c r="K1036" s="27"/>
      <c r="L1036" s="27"/>
      <c r="M1036" s="27"/>
      <c r="N1036" s="28">
        <f>1455.2</f>
        <v>1455.2</v>
      </c>
      <c r="O1036" s="28"/>
      <c r="P1036" s="28"/>
      <c r="Q1036" s="27" t="s">
        <v>2032</v>
      </c>
      <c r="R1036" s="27"/>
      <c r="S1036" s="29" t="s">
        <v>2032</v>
      </c>
      <c r="T1036" s="29"/>
      <c r="U1036" s="29"/>
      <c r="V1036" s="29"/>
      <c r="W1036" s="30" t="s">
        <v>2032</v>
      </c>
      <c r="X1036" s="29" t="s">
        <v>2032</v>
      </c>
      <c r="Y1036" s="29"/>
      <c r="Z1036" s="29"/>
      <c r="AA1036" s="29"/>
      <c r="AB1036" s="27" t="s">
        <v>2056</v>
      </c>
      <c r="AC1036" s="27"/>
      <c r="AD1036" s="27"/>
      <c r="AE1036" s="31">
        <f>1455.2</f>
        <v>1455.2</v>
      </c>
      <c r="AF1036" s="31"/>
      <c r="AG1036" s="31"/>
    </row>
    <row r="1037" spans="1:33" s="1" customFormat="1" ht="18.75" customHeight="1">
      <c r="A1037" s="24" t="s">
        <v>1356</v>
      </c>
      <c r="B1037" s="25" t="s">
        <v>1357</v>
      </c>
      <c r="C1037" s="25"/>
      <c r="D1037" s="25"/>
      <c r="E1037" s="26" t="s">
        <v>1351</v>
      </c>
      <c r="F1037" s="26"/>
      <c r="G1037" s="26"/>
      <c r="H1037" s="26"/>
      <c r="I1037" s="26"/>
      <c r="J1037" s="27" t="s">
        <v>2056</v>
      </c>
      <c r="K1037" s="27"/>
      <c r="L1037" s="27"/>
      <c r="M1037" s="27"/>
      <c r="N1037" s="28">
        <f>1455.2</f>
        <v>1455.2</v>
      </c>
      <c r="O1037" s="28"/>
      <c r="P1037" s="28"/>
      <c r="Q1037" s="27" t="s">
        <v>2032</v>
      </c>
      <c r="R1037" s="27"/>
      <c r="S1037" s="29" t="s">
        <v>2032</v>
      </c>
      <c r="T1037" s="29"/>
      <c r="U1037" s="29"/>
      <c r="V1037" s="29"/>
      <c r="W1037" s="30" t="s">
        <v>2032</v>
      </c>
      <c r="X1037" s="29" t="s">
        <v>2032</v>
      </c>
      <c r="Y1037" s="29"/>
      <c r="Z1037" s="29"/>
      <c r="AA1037" s="29"/>
      <c r="AB1037" s="27" t="s">
        <v>2056</v>
      </c>
      <c r="AC1037" s="27"/>
      <c r="AD1037" s="27"/>
      <c r="AE1037" s="31">
        <f>1455.2</f>
        <v>1455.2</v>
      </c>
      <c r="AF1037" s="31"/>
      <c r="AG1037" s="31"/>
    </row>
    <row r="1038" spans="1:33" s="1" customFormat="1" ht="33" customHeight="1">
      <c r="A1038" s="24" t="s">
        <v>1358</v>
      </c>
      <c r="B1038" s="25" t="s">
        <v>1359</v>
      </c>
      <c r="C1038" s="25"/>
      <c r="D1038" s="25"/>
      <c r="E1038" s="26" t="s">
        <v>1351</v>
      </c>
      <c r="F1038" s="26"/>
      <c r="G1038" s="26"/>
      <c r="H1038" s="26"/>
      <c r="I1038" s="26"/>
      <c r="J1038" s="27" t="s">
        <v>2065</v>
      </c>
      <c r="K1038" s="27"/>
      <c r="L1038" s="27"/>
      <c r="M1038" s="27"/>
      <c r="N1038" s="28">
        <f>14552</f>
        <v>14552</v>
      </c>
      <c r="O1038" s="28"/>
      <c r="P1038" s="28"/>
      <c r="Q1038" s="27" t="s">
        <v>2032</v>
      </c>
      <c r="R1038" s="27"/>
      <c r="S1038" s="29" t="s">
        <v>2032</v>
      </c>
      <c r="T1038" s="29"/>
      <c r="U1038" s="29"/>
      <c r="V1038" s="29"/>
      <c r="W1038" s="30" t="s">
        <v>2032</v>
      </c>
      <c r="X1038" s="29" t="s">
        <v>2032</v>
      </c>
      <c r="Y1038" s="29"/>
      <c r="Z1038" s="29"/>
      <c r="AA1038" s="29"/>
      <c r="AB1038" s="27" t="s">
        <v>2065</v>
      </c>
      <c r="AC1038" s="27"/>
      <c r="AD1038" s="27"/>
      <c r="AE1038" s="31">
        <f>14552</f>
        <v>14552</v>
      </c>
      <c r="AF1038" s="31"/>
      <c r="AG1038" s="31"/>
    </row>
    <row r="1039" spans="1:33" s="1" customFormat="1" ht="18.75" customHeight="1">
      <c r="A1039" s="24" t="s">
        <v>1360</v>
      </c>
      <c r="B1039" s="25" t="s">
        <v>1361</v>
      </c>
      <c r="C1039" s="25"/>
      <c r="D1039" s="25"/>
      <c r="E1039" s="26" t="s">
        <v>1362</v>
      </c>
      <c r="F1039" s="26"/>
      <c r="G1039" s="26"/>
      <c r="H1039" s="26"/>
      <c r="I1039" s="26"/>
      <c r="J1039" s="27" t="s">
        <v>2057</v>
      </c>
      <c r="K1039" s="27"/>
      <c r="L1039" s="27"/>
      <c r="M1039" s="27"/>
      <c r="N1039" s="28">
        <f>500</f>
        <v>500</v>
      </c>
      <c r="O1039" s="28"/>
      <c r="P1039" s="28"/>
      <c r="Q1039" s="27" t="s">
        <v>2032</v>
      </c>
      <c r="R1039" s="27"/>
      <c r="S1039" s="29" t="s">
        <v>2032</v>
      </c>
      <c r="T1039" s="29"/>
      <c r="U1039" s="29"/>
      <c r="V1039" s="29"/>
      <c r="W1039" s="30" t="s">
        <v>2032</v>
      </c>
      <c r="X1039" s="29" t="s">
        <v>2032</v>
      </c>
      <c r="Y1039" s="29"/>
      <c r="Z1039" s="29"/>
      <c r="AA1039" s="29"/>
      <c r="AB1039" s="27" t="s">
        <v>2057</v>
      </c>
      <c r="AC1039" s="27"/>
      <c r="AD1039" s="27"/>
      <c r="AE1039" s="31">
        <f>500</f>
        <v>500</v>
      </c>
      <c r="AF1039" s="31"/>
      <c r="AG1039" s="31"/>
    </row>
    <row r="1040" spans="1:33" s="1" customFormat="1" ht="18.75" customHeight="1">
      <c r="A1040" s="24" t="s">
        <v>1363</v>
      </c>
      <c r="B1040" s="25" t="s">
        <v>1364</v>
      </c>
      <c r="C1040" s="25"/>
      <c r="D1040" s="25"/>
      <c r="E1040" s="26" t="s">
        <v>1365</v>
      </c>
      <c r="F1040" s="26"/>
      <c r="G1040" s="26"/>
      <c r="H1040" s="26"/>
      <c r="I1040" s="26"/>
      <c r="J1040" s="27" t="s">
        <v>2056</v>
      </c>
      <c r="K1040" s="27"/>
      <c r="L1040" s="27"/>
      <c r="M1040" s="27"/>
      <c r="N1040" s="28">
        <f>277.64</f>
        <v>277.64</v>
      </c>
      <c r="O1040" s="28"/>
      <c r="P1040" s="28"/>
      <c r="Q1040" s="27" t="s">
        <v>2032</v>
      </c>
      <c r="R1040" s="27"/>
      <c r="S1040" s="29" t="s">
        <v>2032</v>
      </c>
      <c r="T1040" s="29"/>
      <c r="U1040" s="29"/>
      <c r="V1040" s="29"/>
      <c r="W1040" s="30" t="s">
        <v>2032</v>
      </c>
      <c r="X1040" s="29" t="s">
        <v>2032</v>
      </c>
      <c r="Y1040" s="29"/>
      <c r="Z1040" s="29"/>
      <c r="AA1040" s="29"/>
      <c r="AB1040" s="27" t="s">
        <v>2056</v>
      </c>
      <c r="AC1040" s="27"/>
      <c r="AD1040" s="27"/>
      <c r="AE1040" s="31">
        <f>277.64</f>
        <v>277.64</v>
      </c>
      <c r="AF1040" s="31"/>
      <c r="AG1040" s="31"/>
    </row>
    <row r="1041" spans="1:33" s="1" customFormat="1" ht="18.75" customHeight="1">
      <c r="A1041" s="24" t="s">
        <v>1366</v>
      </c>
      <c r="B1041" s="25" t="s">
        <v>1367</v>
      </c>
      <c r="C1041" s="25"/>
      <c r="D1041" s="25"/>
      <c r="E1041" s="26" t="s">
        <v>1368</v>
      </c>
      <c r="F1041" s="26"/>
      <c r="G1041" s="26"/>
      <c r="H1041" s="26"/>
      <c r="I1041" s="26"/>
      <c r="J1041" s="27" t="s">
        <v>2056</v>
      </c>
      <c r="K1041" s="27"/>
      <c r="L1041" s="27"/>
      <c r="M1041" s="27"/>
      <c r="N1041" s="28">
        <f>432</f>
        <v>432</v>
      </c>
      <c r="O1041" s="28"/>
      <c r="P1041" s="28"/>
      <c r="Q1041" s="27" t="s">
        <v>2032</v>
      </c>
      <c r="R1041" s="27"/>
      <c r="S1041" s="29" t="s">
        <v>2032</v>
      </c>
      <c r="T1041" s="29"/>
      <c r="U1041" s="29"/>
      <c r="V1041" s="29"/>
      <c r="W1041" s="30" t="s">
        <v>2032</v>
      </c>
      <c r="X1041" s="29" t="s">
        <v>2032</v>
      </c>
      <c r="Y1041" s="29"/>
      <c r="Z1041" s="29"/>
      <c r="AA1041" s="29"/>
      <c r="AB1041" s="27" t="s">
        <v>2056</v>
      </c>
      <c r="AC1041" s="27"/>
      <c r="AD1041" s="27"/>
      <c r="AE1041" s="31">
        <f>432</f>
        <v>432</v>
      </c>
      <c r="AF1041" s="31"/>
      <c r="AG1041" s="31"/>
    </row>
    <row r="1042" spans="1:33" s="1" customFormat="1" ht="18.75" customHeight="1">
      <c r="A1042" s="24" t="s">
        <v>1369</v>
      </c>
      <c r="B1042" s="25" t="s">
        <v>1370</v>
      </c>
      <c r="C1042" s="25"/>
      <c r="D1042" s="25"/>
      <c r="E1042" s="26" t="s">
        <v>1371</v>
      </c>
      <c r="F1042" s="26"/>
      <c r="G1042" s="26"/>
      <c r="H1042" s="26"/>
      <c r="I1042" s="26"/>
      <c r="J1042" s="27" t="s">
        <v>2058</v>
      </c>
      <c r="K1042" s="27"/>
      <c r="L1042" s="27"/>
      <c r="M1042" s="27"/>
      <c r="N1042" s="28">
        <f>1245</f>
        <v>1245</v>
      </c>
      <c r="O1042" s="28"/>
      <c r="P1042" s="28"/>
      <c r="Q1042" s="27" t="s">
        <v>2032</v>
      </c>
      <c r="R1042" s="27"/>
      <c r="S1042" s="29" t="s">
        <v>2032</v>
      </c>
      <c r="T1042" s="29"/>
      <c r="U1042" s="29"/>
      <c r="V1042" s="29"/>
      <c r="W1042" s="30" t="s">
        <v>2032</v>
      </c>
      <c r="X1042" s="29" t="s">
        <v>2032</v>
      </c>
      <c r="Y1042" s="29"/>
      <c r="Z1042" s="29"/>
      <c r="AA1042" s="29"/>
      <c r="AB1042" s="27" t="s">
        <v>2058</v>
      </c>
      <c r="AC1042" s="27"/>
      <c r="AD1042" s="27"/>
      <c r="AE1042" s="31">
        <f>1245</f>
        <v>1245</v>
      </c>
      <c r="AF1042" s="31"/>
      <c r="AG1042" s="31"/>
    </row>
    <row r="1043" spans="1:33" s="1" customFormat="1" ht="18.75" customHeight="1">
      <c r="A1043" s="24" t="s">
        <v>1372</v>
      </c>
      <c r="B1043" s="25" t="s">
        <v>1373</v>
      </c>
      <c r="C1043" s="25"/>
      <c r="D1043" s="25"/>
      <c r="E1043" s="26" t="s">
        <v>1374</v>
      </c>
      <c r="F1043" s="26"/>
      <c r="G1043" s="26"/>
      <c r="H1043" s="26"/>
      <c r="I1043" s="26"/>
      <c r="J1043" s="27" t="s">
        <v>2056</v>
      </c>
      <c r="K1043" s="27"/>
      <c r="L1043" s="27"/>
      <c r="M1043" s="27"/>
      <c r="N1043" s="28">
        <f>917</f>
        <v>917</v>
      </c>
      <c r="O1043" s="28"/>
      <c r="P1043" s="28"/>
      <c r="Q1043" s="27" t="s">
        <v>2032</v>
      </c>
      <c r="R1043" s="27"/>
      <c r="S1043" s="29" t="s">
        <v>2032</v>
      </c>
      <c r="T1043" s="29"/>
      <c r="U1043" s="29"/>
      <c r="V1043" s="29"/>
      <c r="W1043" s="30" t="s">
        <v>2032</v>
      </c>
      <c r="X1043" s="29" t="s">
        <v>2032</v>
      </c>
      <c r="Y1043" s="29"/>
      <c r="Z1043" s="29"/>
      <c r="AA1043" s="29"/>
      <c r="AB1043" s="27" t="s">
        <v>2056</v>
      </c>
      <c r="AC1043" s="27"/>
      <c r="AD1043" s="27"/>
      <c r="AE1043" s="31">
        <f>917</f>
        <v>917</v>
      </c>
      <c r="AF1043" s="31"/>
      <c r="AG1043" s="31"/>
    </row>
    <row r="1044" spans="1:33" s="1" customFormat="1" ht="18.75" customHeight="1">
      <c r="A1044" s="24" t="s">
        <v>1375</v>
      </c>
      <c r="B1044" s="25" t="s">
        <v>996</v>
      </c>
      <c r="C1044" s="25"/>
      <c r="D1044" s="25"/>
      <c r="E1044" s="26" t="s">
        <v>1376</v>
      </c>
      <c r="F1044" s="26"/>
      <c r="G1044" s="26"/>
      <c r="H1044" s="26"/>
      <c r="I1044" s="26"/>
      <c r="J1044" s="27" t="s">
        <v>2060</v>
      </c>
      <c r="K1044" s="27"/>
      <c r="L1044" s="27"/>
      <c r="M1044" s="27"/>
      <c r="N1044" s="28">
        <f>2150</f>
        <v>2150</v>
      </c>
      <c r="O1044" s="28"/>
      <c r="P1044" s="28"/>
      <c r="Q1044" s="27" t="s">
        <v>2032</v>
      </c>
      <c r="R1044" s="27"/>
      <c r="S1044" s="29" t="s">
        <v>2032</v>
      </c>
      <c r="T1044" s="29"/>
      <c r="U1044" s="29"/>
      <c r="V1044" s="29"/>
      <c r="W1044" s="30" t="s">
        <v>2032</v>
      </c>
      <c r="X1044" s="29" t="s">
        <v>2032</v>
      </c>
      <c r="Y1044" s="29"/>
      <c r="Z1044" s="29"/>
      <c r="AA1044" s="29"/>
      <c r="AB1044" s="27" t="s">
        <v>2060</v>
      </c>
      <c r="AC1044" s="27"/>
      <c r="AD1044" s="27"/>
      <c r="AE1044" s="31">
        <f>2150</f>
        <v>2150</v>
      </c>
      <c r="AF1044" s="31"/>
      <c r="AG1044" s="31"/>
    </row>
    <row r="1045" spans="1:33" s="1" customFormat="1" ht="18.75" customHeight="1">
      <c r="A1045" s="24" t="s">
        <v>1377</v>
      </c>
      <c r="B1045" s="25" t="s">
        <v>1378</v>
      </c>
      <c r="C1045" s="25"/>
      <c r="D1045" s="25"/>
      <c r="E1045" s="26" t="s">
        <v>1379</v>
      </c>
      <c r="F1045" s="26"/>
      <c r="G1045" s="26"/>
      <c r="H1045" s="26"/>
      <c r="I1045" s="26"/>
      <c r="J1045" s="27" t="s">
        <v>2056</v>
      </c>
      <c r="K1045" s="27"/>
      <c r="L1045" s="27"/>
      <c r="M1045" s="27"/>
      <c r="N1045" s="28">
        <f>1000</f>
        <v>1000</v>
      </c>
      <c r="O1045" s="28"/>
      <c r="P1045" s="28"/>
      <c r="Q1045" s="27" t="s">
        <v>2032</v>
      </c>
      <c r="R1045" s="27"/>
      <c r="S1045" s="29" t="s">
        <v>2032</v>
      </c>
      <c r="T1045" s="29"/>
      <c r="U1045" s="29"/>
      <c r="V1045" s="29"/>
      <c r="W1045" s="30" t="s">
        <v>2032</v>
      </c>
      <c r="X1045" s="29" t="s">
        <v>2032</v>
      </c>
      <c r="Y1045" s="29"/>
      <c r="Z1045" s="29"/>
      <c r="AA1045" s="29"/>
      <c r="AB1045" s="27" t="s">
        <v>2056</v>
      </c>
      <c r="AC1045" s="27"/>
      <c r="AD1045" s="27"/>
      <c r="AE1045" s="31">
        <f>1000</f>
        <v>1000</v>
      </c>
      <c r="AF1045" s="31"/>
      <c r="AG1045" s="31"/>
    </row>
    <row r="1046" spans="1:33" s="1" customFormat="1" ht="33" customHeight="1">
      <c r="A1046" s="24" t="s">
        <v>1380</v>
      </c>
      <c r="B1046" s="25" t="s">
        <v>1381</v>
      </c>
      <c r="C1046" s="25"/>
      <c r="D1046" s="25"/>
      <c r="E1046" s="26" t="s">
        <v>1382</v>
      </c>
      <c r="F1046" s="26"/>
      <c r="G1046" s="26"/>
      <c r="H1046" s="26"/>
      <c r="I1046" s="26"/>
      <c r="J1046" s="27" t="s">
        <v>2056</v>
      </c>
      <c r="K1046" s="27"/>
      <c r="L1046" s="27"/>
      <c r="M1046" s="27"/>
      <c r="N1046" s="28">
        <f>2900</f>
        <v>2900</v>
      </c>
      <c r="O1046" s="28"/>
      <c r="P1046" s="28"/>
      <c r="Q1046" s="27" t="s">
        <v>2032</v>
      </c>
      <c r="R1046" s="27"/>
      <c r="S1046" s="29" t="s">
        <v>2032</v>
      </c>
      <c r="T1046" s="29"/>
      <c r="U1046" s="29"/>
      <c r="V1046" s="29"/>
      <c r="W1046" s="30" t="s">
        <v>2032</v>
      </c>
      <c r="X1046" s="29" t="s">
        <v>2032</v>
      </c>
      <c r="Y1046" s="29"/>
      <c r="Z1046" s="29"/>
      <c r="AA1046" s="29"/>
      <c r="AB1046" s="27" t="s">
        <v>2056</v>
      </c>
      <c r="AC1046" s="27"/>
      <c r="AD1046" s="27"/>
      <c r="AE1046" s="31">
        <f>2900</f>
        <v>2900</v>
      </c>
      <c r="AF1046" s="31"/>
      <c r="AG1046" s="31"/>
    </row>
    <row r="1047" spans="1:33" s="1" customFormat="1" ht="18.75" customHeight="1">
      <c r="A1047" s="24" t="s">
        <v>1383</v>
      </c>
      <c r="B1047" s="25" t="s">
        <v>1384</v>
      </c>
      <c r="C1047" s="25"/>
      <c r="D1047" s="25"/>
      <c r="E1047" s="26" t="s">
        <v>1385</v>
      </c>
      <c r="F1047" s="26"/>
      <c r="G1047" s="26"/>
      <c r="H1047" s="26"/>
      <c r="I1047" s="26"/>
      <c r="J1047" s="27" t="s">
        <v>2056</v>
      </c>
      <c r="K1047" s="27"/>
      <c r="L1047" s="27"/>
      <c r="M1047" s="27"/>
      <c r="N1047" s="28">
        <f>2540</f>
        <v>2540</v>
      </c>
      <c r="O1047" s="28"/>
      <c r="P1047" s="28"/>
      <c r="Q1047" s="27" t="s">
        <v>2032</v>
      </c>
      <c r="R1047" s="27"/>
      <c r="S1047" s="29" t="s">
        <v>2032</v>
      </c>
      <c r="T1047" s="29"/>
      <c r="U1047" s="29"/>
      <c r="V1047" s="29"/>
      <c r="W1047" s="30" t="s">
        <v>2032</v>
      </c>
      <c r="X1047" s="29" t="s">
        <v>2032</v>
      </c>
      <c r="Y1047" s="29"/>
      <c r="Z1047" s="29"/>
      <c r="AA1047" s="29"/>
      <c r="AB1047" s="27" t="s">
        <v>2056</v>
      </c>
      <c r="AC1047" s="27"/>
      <c r="AD1047" s="27"/>
      <c r="AE1047" s="31">
        <f>2540</f>
        <v>2540</v>
      </c>
      <c r="AF1047" s="31"/>
      <c r="AG1047" s="31"/>
    </row>
    <row r="1048" spans="1:33" s="1" customFormat="1" ht="33" customHeight="1">
      <c r="A1048" s="24" t="s">
        <v>1386</v>
      </c>
      <c r="B1048" s="25" t="s">
        <v>1387</v>
      </c>
      <c r="C1048" s="25"/>
      <c r="D1048" s="25"/>
      <c r="E1048" s="26" t="s">
        <v>1388</v>
      </c>
      <c r="F1048" s="26"/>
      <c r="G1048" s="26"/>
      <c r="H1048" s="26"/>
      <c r="I1048" s="26"/>
      <c r="J1048" s="27" t="s">
        <v>2056</v>
      </c>
      <c r="K1048" s="27"/>
      <c r="L1048" s="27"/>
      <c r="M1048" s="27"/>
      <c r="N1048" s="28">
        <f>2162.4</f>
        <v>2162.4</v>
      </c>
      <c r="O1048" s="28"/>
      <c r="P1048" s="28"/>
      <c r="Q1048" s="27" t="s">
        <v>2032</v>
      </c>
      <c r="R1048" s="27"/>
      <c r="S1048" s="29" t="s">
        <v>2032</v>
      </c>
      <c r="T1048" s="29"/>
      <c r="U1048" s="29"/>
      <c r="V1048" s="29"/>
      <c r="W1048" s="30" t="s">
        <v>2032</v>
      </c>
      <c r="X1048" s="29" t="s">
        <v>2032</v>
      </c>
      <c r="Y1048" s="29"/>
      <c r="Z1048" s="29"/>
      <c r="AA1048" s="29"/>
      <c r="AB1048" s="27" t="s">
        <v>2056</v>
      </c>
      <c r="AC1048" s="27"/>
      <c r="AD1048" s="27"/>
      <c r="AE1048" s="31">
        <f>2162.4</f>
        <v>2162.4</v>
      </c>
      <c r="AF1048" s="31"/>
      <c r="AG1048" s="31"/>
    </row>
    <row r="1049" spans="1:33" s="1" customFormat="1" ht="18.75" customHeight="1">
      <c r="A1049" s="24" t="s">
        <v>1389</v>
      </c>
      <c r="B1049" s="25" t="s">
        <v>1390</v>
      </c>
      <c r="C1049" s="25"/>
      <c r="D1049" s="25"/>
      <c r="E1049" s="26" t="s">
        <v>1391</v>
      </c>
      <c r="F1049" s="26"/>
      <c r="G1049" s="26"/>
      <c r="H1049" s="26"/>
      <c r="I1049" s="26"/>
      <c r="J1049" s="27" t="s">
        <v>2057</v>
      </c>
      <c r="K1049" s="27"/>
      <c r="L1049" s="27"/>
      <c r="M1049" s="27"/>
      <c r="N1049" s="28">
        <f>971.74</f>
        <v>971.74</v>
      </c>
      <c r="O1049" s="28"/>
      <c r="P1049" s="28"/>
      <c r="Q1049" s="27" t="s">
        <v>2032</v>
      </c>
      <c r="R1049" s="27"/>
      <c r="S1049" s="29" t="s">
        <v>2032</v>
      </c>
      <c r="T1049" s="29"/>
      <c r="U1049" s="29"/>
      <c r="V1049" s="29"/>
      <c r="W1049" s="30" t="s">
        <v>2032</v>
      </c>
      <c r="X1049" s="29" t="s">
        <v>2032</v>
      </c>
      <c r="Y1049" s="29"/>
      <c r="Z1049" s="29"/>
      <c r="AA1049" s="29"/>
      <c r="AB1049" s="27" t="s">
        <v>2057</v>
      </c>
      <c r="AC1049" s="27"/>
      <c r="AD1049" s="27"/>
      <c r="AE1049" s="31">
        <f>971.74</f>
        <v>971.74</v>
      </c>
      <c r="AF1049" s="31"/>
      <c r="AG1049" s="31"/>
    </row>
    <row r="1050" spans="1:33" s="1" customFormat="1" ht="18.75" customHeight="1">
      <c r="A1050" s="24" t="s">
        <v>1392</v>
      </c>
      <c r="B1050" s="25" t="s">
        <v>1393</v>
      </c>
      <c r="C1050" s="25"/>
      <c r="D1050" s="25"/>
      <c r="E1050" s="26" t="s">
        <v>1394</v>
      </c>
      <c r="F1050" s="26"/>
      <c r="G1050" s="26"/>
      <c r="H1050" s="26"/>
      <c r="I1050" s="26"/>
      <c r="J1050" s="27" t="s">
        <v>2056</v>
      </c>
      <c r="K1050" s="27"/>
      <c r="L1050" s="27"/>
      <c r="M1050" s="27"/>
      <c r="N1050" s="28">
        <f>1900</f>
        <v>1900</v>
      </c>
      <c r="O1050" s="28"/>
      <c r="P1050" s="28"/>
      <c r="Q1050" s="27" t="s">
        <v>2032</v>
      </c>
      <c r="R1050" s="27"/>
      <c r="S1050" s="29" t="s">
        <v>2032</v>
      </c>
      <c r="T1050" s="29"/>
      <c r="U1050" s="29"/>
      <c r="V1050" s="29"/>
      <c r="W1050" s="30" t="s">
        <v>2032</v>
      </c>
      <c r="X1050" s="29" t="s">
        <v>2032</v>
      </c>
      <c r="Y1050" s="29"/>
      <c r="Z1050" s="29"/>
      <c r="AA1050" s="29"/>
      <c r="AB1050" s="27" t="s">
        <v>2056</v>
      </c>
      <c r="AC1050" s="27"/>
      <c r="AD1050" s="27"/>
      <c r="AE1050" s="31">
        <f>1900</f>
        <v>1900</v>
      </c>
      <c r="AF1050" s="31"/>
      <c r="AG1050" s="31"/>
    </row>
    <row r="1051" spans="1:33" s="1" customFormat="1" ht="18.75" customHeight="1">
      <c r="A1051" s="24" t="s">
        <v>1395</v>
      </c>
      <c r="B1051" s="25" t="s">
        <v>1396</v>
      </c>
      <c r="C1051" s="25"/>
      <c r="D1051" s="25"/>
      <c r="E1051" s="26" t="s">
        <v>1397</v>
      </c>
      <c r="F1051" s="26"/>
      <c r="G1051" s="26"/>
      <c r="H1051" s="26"/>
      <c r="I1051" s="26"/>
      <c r="J1051" s="27" t="s">
        <v>2056</v>
      </c>
      <c r="K1051" s="27"/>
      <c r="L1051" s="27"/>
      <c r="M1051" s="27"/>
      <c r="N1051" s="28">
        <f>1000</f>
        <v>1000</v>
      </c>
      <c r="O1051" s="28"/>
      <c r="P1051" s="28"/>
      <c r="Q1051" s="27" t="s">
        <v>2032</v>
      </c>
      <c r="R1051" s="27"/>
      <c r="S1051" s="29" t="s">
        <v>2032</v>
      </c>
      <c r="T1051" s="29"/>
      <c r="U1051" s="29"/>
      <c r="V1051" s="29"/>
      <c r="W1051" s="30" t="s">
        <v>2032</v>
      </c>
      <c r="X1051" s="29" t="s">
        <v>2032</v>
      </c>
      <c r="Y1051" s="29"/>
      <c r="Z1051" s="29"/>
      <c r="AA1051" s="29"/>
      <c r="AB1051" s="27" t="s">
        <v>2056</v>
      </c>
      <c r="AC1051" s="27"/>
      <c r="AD1051" s="27"/>
      <c r="AE1051" s="31">
        <f>1000</f>
        <v>1000</v>
      </c>
      <c r="AF1051" s="31"/>
      <c r="AG1051" s="31"/>
    </row>
    <row r="1052" spans="1:33" s="1" customFormat="1" ht="18.75" customHeight="1">
      <c r="A1052" s="24" t="s">
        <v>1398</v>
      </c>
      <c r="B1052" s="25" t="s">
        <v>1399</v>
      </c>
      <c r="C1052" s="25"/>
      <c r="D1052" s="25"/>
      <c r="E1052" s="26" t="s">
        <v>1400</v>
      </c>
      <c r="F1052" s="26"/>
      <c r="G1052" s="26"/>
      <c r="H1052" s="26"/>
      <c r="I1052" s="26"/>
      <c r="J1052" s="27" t="s">
        <v>2056</v>
      </c>
      <c r="K1052" s="27"/>
      <c r="L1052" s="27"/>
      <c r="M1052" s="27"/>
      <c r="N1052" s="28">
        <f>1730</f>
        <v>1730</v>
      </c>
      <c r="O1052" s="28"/>
      <c r="P1052" s="28"/>
      <c r="Q1052" s="27" t="s">
        <v>2032</v>
      </c>
      <c r="R1052" s="27"/>
      <c r="S1052" s="29" t="s">
        <v>2032</v>
      </c>
      <c r="T1052" s="29"/>
      <c r="U1052" s="29"/>
      <c r="V1052" s="29"/>
      <c r="W1052" s="30" t="s">
        <v>2032</v>
      </c>
      <c r="X1052" s="29" t="s">
        <v>2032</v>
      </c>
      <c r="Y1052" s="29"/>
      <c r="Z1052" s="29"/>
      <c r="AA1052" s="29"/>
      <c r="AB1052" s="27" t="s">
        <v>2056</v>
      </c>
      <c r="AC1052" s="27"/>
      <c r="AD1052" s="27"/>
      <c r="AE1052" s="31">
        <f>1730</f>
        <v>1730</v>
      </c>
      <c r="AF1052" s="31"/>
      <c r="AG1052" s="31"/>
    </row>
    <row r="1053" spans="1:33" s="1" customFormat="1" ht="18.75" customHeight="1">
      <c r="A1053" s="24" t="s">
        <v>1401</v>
      </c>
      <c r="B1053" s="25" t="s">
        <v>1402</v>
      </c>
      <c r="C1053" s="25"/>
      <c r="D1053" s="25"/>
      <c r="E1053" s="26" t="s">
        <v>1400</v>
      </c>
      <c r="F1053" s="26"/>
      <c r="G1053" s="26"/>
      <c r="H1053" s="26"/>
      <c r="I1053" s="26"/>
      <c r="J1053" s="27" t="s">
        <v>2056</v>
      </c>
      <c r="K1053" s="27"/>
      <c r="L1053" s="27"/>
      <c r="M1053" s="27"/>
      <c r="N1053" s="28">
        <f>1730</f>
        <v>1730</v>
      </c>
      <c r="O1053" s="28"/>
      <c r="P1053" s="28"/>
      <c r="Q1053" s="27" t="s">
        <v>2032</v>
      </c>
      <c r="R1053" s="27"/>
      <c r="S1053" s="29" t="s">
        <v>2032</v>
      </c>
      <c r="T1053" s="29"/>
      <c r="U1053" s="29"/>
      <c r="V1053" s="29"/>
      <c r="W1053" s="30" t="s">
        <v>2032</v>
      </c>
      <c r="X1053" s="29" t="s">
        <v>2032</v>
      </c>
      <c r="Y1053" s="29"/>
      <c r="Z1053" s="29"/>
      <c r="AA1053" s="29"/>
      <c r="AB1053" s="27" t="s">
        <v>2056</v>
      </c>
      <c r="AC1053" s="27"/>
      <c r="AD1053" s="27"/>
      <c r="AE1053" s="31">
        <f>1730</f>
        <v>1730</v>
      </c>
      <c r="AF1053" s="31"/>
      <c r="AG1053" s="31"/>
    </row>
    <row r="1054" spans="1:33" s="1" customFormat="1" ht="46.5" customHeight="1">
      <c r="A1054" s="24" t="s">
        <v>1403</v>
      </c>
      <c r="B1054" s="25" t="s">
        <v>1404</v>
      </c>
      <c r="C1054" s="25"/>
      <c r="D1054" s="25"/>
      <c r="E1054" s="26" t="s">
        <v>1405</v>
      </c>
      <c r="F1054" s="26"/>
      <c r="G1054" s="26"/>
      <c r="H1054" s="26"/>
      <c r="I1054" s="26"/>
      <c r="J1054" s="27" t="s">
        <v>2056</v>
      </c>
      <c r="K1054" s="27"/>
      <c r="L1054" s="27"/>
      <c r="M1054" s="27"/>
      <c r="N1054" s="28">
        <f>2752.5</f>
        <v>2752.5</v>
      </c>
      <c r="O1054" s="28"/>
      <c r="P1054" s="28"/>
      <c r="Q1054" s="27" t="s">
        <v>2032</v>
      </c>
      <c r="R1054" s="27"/>
      <c r="S1054" s="29" t="s">
        <v>2032</v>
      </c>
      <c r="T1054" s="29"/>
      <c r="U1054" s="29"/>
      <c r="V1054" s="29"/>
      <c r="W1054" s="30" t="s">
        <v>2032</v>
      </c>
      <c r="X1054" s="29" t="s">
        <v>2032</v>
      </c>
      <c r="Y1054" s="29"/>
      <c r="Z1054" s="29"/>
      <c r="AA1054" s="29"/>
      <c r="AB1054" s="27" t="s">
        <v>2056</v>
      </c>
      <c r="AC1054" s="27"/>
      <c r="AD1054" s="27"/>
      <c r="AE1054" s="31">
        <f>2752.5</f>
        <v>2752.5</v>
      </c>
      <c r="AF1054" s="31"/>
      <c r="AG1054" s="31"/>
    </row>
    <row r="1055" spans="1:33" s="1" customFormat="1" ht="18.75" customHeight="1">
      <c r="A1055" s="24" t="s">
        <v>1406</v>
      </c>
      <c r="B1055" s="25" t="s">
        <v>1407</v>
      </c>
      <c r="C1055" s="25"/>
      <c r="D1055" s="25"/>
      <c r="E1055" s="26" t="s">
        <v>1408</v>
      </c>
      <c r="F1055" s="26"/>
      <c r="G1055" s="26"/>
      <c r="H1055" s="26"/>
      <c r="I1055" s="26"/>
      <c r="J1055" s="27" t="s">
        <v>2056</v>
      </c>
      <c r="K1055" s="27"/>
      <c r="L1055" s="27"/>
      <c r="M1055" s="27"/>
      <c r="N1055" s="28">
        <f>1860</f>
        <v>1860</v>
      </c>
      <c r="O1055" s="28"/>
      <c r="P1055" s="28"/>
      <c r="Q1055" s="27" t="s">
        <v>2032</v>
      </c>
      <c r="R1055" s="27"/>
      <c r="S1055" s="29" t="s">
        <v>2032</v>
      </c>
      <c r="T1055" s="29"/>
      <c r="U1055" s="29"/>
      <c r="V1055" s="29"/>
      <c r="W1055" s="30" t="s">
        <v>2032</v>
      </c>
      <c r="X1055" s="29" t="s">
        <v>2032</v>
      </c>
      <c r="Y1055" s="29"/>
      <c r="Z1055" s="29"/>
      <c r="AA1055" s="29"/>
      <c r="AB1055" s="27" t="s">
        <v>2056</v>
      </c>
      <c r="AC1055" s="27"/>
      <c r="AD1055" s="27"/>
      <c r="AE1055" s="31">
        <f>1860</f>
        <v>1860</v>
      </c>
      <c r="AF1055" s="31"/>
      <c r="AG1055" s="31"/>
    </row>
    <row r="1056" spans="1:33" s="1" customFormat="1" ht="18.75" customHeight="1">
      <c r="A1056" s="24" t="s">
        <v>1409</v>
      </c>
      <c r="B1056" s="25" t="s">
        <v>1410</v>
      </c>
      <c r="C1056" s="25"/>
      <c r="D1056" s="25"/>
      <c r="E1056" s="26" t="s">
        <v>1408</v>
      </c>
      <c r="F1056" s="26"/>
      <c r="G1056" s="26"/>
      <c r="H1056" s="26"/>
      <c r="I1056" s="26"/>
      <c r="J1056" s="27" t="s">
        <v>2056</v>
      </c>
      <c r="K1056" s="27"/>
      <c r="L1056" s="27"/>
      <c r="M1056" s="27"/>
      <c r="N1056" s="28">
        <f>1860</f>
        <v>1860</v>
      </c>
      <c r="O1056" s="28"/>
      <c r="P1056" s="28"/>
      <c r="Q1056" s="27" t="s">
        <v>2032</v>
      </c>
      <c r="R1056" s="27"/>
      <c r="S1056" s="29" t="s">
        <v>2032</v>
      </c>
      <c r="T1056" s="29"/>
      <c r="U1056" s="29"/>
      <c r="V1056" s="29"/>
      <c r="W1056" s="30" t="s">
        <v>2032</v>
      </c>
      <c r="X1056" s="29" t="s">
        <v>2032</v>
      </c>
      <c r="Y1056" s="29"/>
      <c r="Z1056" s="29"/>
      <c r="AA1056" s="29"/>
      <c r="AB1056" s="27" t="s">
        <v>2056</v>
      </c>
      <c r="AC1056" s="27"/>
      <c r="AD1056" s="27"/>
      <c r="AE1056" s="31">
        <f>1860</f>
        <v>1860</v>
      </c>
      <c r="AF1056" s="31"/>
      <c r="AG1056" s="31"/>
    </row>
    <row r="1057" spans="1:33" s="1" customFormat="1" ht="18.75" customHeight="1">
      <c r="A1057" s="24" t="s">
        <v>1411</v>
      </c>
      <c r="B1057" s="25" t="s">
        <v>1412</v>
      </c>
      <c r="C1057" s="25"/>
      <c r="D1057" s="25"/>
      <c r="E1057" s="26" t="s">
        <v>1413</v>
      </c>
      <c r="F1057" s="26"/>
      <c r="G1057" s="26"/>
      <c r="H1057" s="26"/>
      <c r="I1057" s="26"/>
      <c r="J1057" s="27" t="s">
        <v>2056</v>
      </c>
      <c r="K1057" s="27"/>
      <c r="L1057" s="27"/>
      <c r="M1057" s="27"/>
      <c r="N1057" s="28">
        <f>541.5</f>
        <v>541.5</v>
      </c>
      <c r="O1057" s="28"/>
      <c r="P1057" s="28"/>
      <c r="Q1057" s="27" t="s">
        <v>2032</v>
      </c>
      <c r="R1057" s="27"/>
      <c r="S1057" s="29" t="s">
        <v>2032</v>
      </c>
      <c r="T1057" s="29"/>
      <c r="U1057" s="29"/>
      <c r="V1057" s="29"/>
      <c r="W1057" s="30" t="s">
        <v>2032</v>
      </c>
      <c r="X1057" s="29" t="s">
        <v>2032</v>
      </c>
      <c r="Y1057" s="29"/>
      <c r="Z1057" s="29"/>
      <c r="AA1057" s="29"/>
      <c r="AB1057" s="27" t="s">
        <v>2056</v>
      </c>
      <c r="AC1057" s="27"/>
      <c r="AD1057" s="27"/>
      <c r="AE1057" s="31">
        <f>541.5</f>
        <v>541.5</v>
      </c>
      <c r="AF1057" s="31"/>
      <c r="AG1057" s="31"/>
    </row>
    <row r="1058" spans="1:33" s="1" customFormat="1" ht="33" customHeight="1">
      <c r="A1058" s="24" t="s">
        <v>1414</v>
      </c>
      <c r="B1058" s="25" t="s">
        <v>2585</v>
      </c>
      <c r="C1058" s="25"/>
      <c r="D1058" s="25"/>
      <c r="E1058" s="26" t="s">
        <v>1415</v>
      </c>
      <c r="F1058" s="26"/>
      <c r="G1058" s="26"/>
      <c r="H1058" s="26"/>
      <c r="I1058" s="26"/>
      <c r="J1058" s="27" t="s">
        <v>2093</v>
      </c>
      <c r="K1058" s="27"/>
      <c r="L1058" s="27"/>
      <c r="M1058" s="27"/>
      <c r="N1058" s="28">
        <f>12234.9</f>
        <v>12234.9</v>
      </c>
      <c r="O1058" s="28"/>
      <c r="P1058" s="28"/>
      <c r="Q1058" s="27" t="s">
        <v>2032</v>
      </c>
      <c r="R1058" s="27"/>
      <c r="S1058" s="29" t="s">
        <v>2032</v>
      </c>
      <c r="T1058" s="29"/>
      <c r="U1058" s="29"/>
      <c r="V1058" s="29"/>
      <c r="W1058" s="30" t="s">
        <v>2032</v>
      </c>
      <c r="X1058" s="29" t="s">
        <v>2032</v>
      </c>
      <c r="Y1058" s="29"/>
      <c r="Z1058" s="29"/>
      <c r="AA1058" s="29"/>
      <c r="AB1058" s="27" t="s">
        <v>2093</v>
      </c>
      <c r="AC1058" s="27"/>
      <c r="AD1058" s="27"/>
      <c r="AE1058" s="31">
        <f>12234.9</f>
        <v>12234.9</v>
      </c>
      <c r="AF1058" s="31"/>
      <c r="AG1058" s="31"/>
    </row>
    <row r="1059" spans="1:33" s="1" customFormat="1" ht="18.75" customHeight="1">
      <c r="A1059" s="24" t="s">
        <v>1416</v>
      </c>
      <c r="B1059" s="25" t="s">
        <v>1417</v>
      </c>
      <c r="C1059" s="25"/>
      <c r="D1059" s="25"/>
      <c r="E1059" s="26" t="s">
        <v>1418</v>
      </c>
      <c r="F1059" s="26"/>
      <c r="G1059" s="26"/>
      <c r="H1059" s="26"/>
      <c r="I1059" s="26"/>
      <c r="J1059" s="27" t="s">
        <v>2093</v>
      </c>
      <c r="K1059" s="27"/>
      <c r="L1059" s="27"/>
      <c r="M1059" s="27"/>
      <c r="N1059" s="28">
        <f>12899.94</f>
        <v>12899.94</v>
      </c>
      <c r="O1059" s="28"/>
      <c r="P1059" s="28"/>
      <c r="Q1059" s="27" t="s">
        <v>2032</v>
      </c>
      <c r="R1059" s="27"/>
      <c r="S1059" s="29" t="s">
        <v>2032</v>
      </c>
      <c r="T1059" s="29"/>
      <c r="U1059" s="29"/>
      <c r="V1059" s="29"/>
      <c r="W1059" s="30" t="s">
        <v>2032</v>
      </c>
      <c r="X1059" s="29" t="s">
        <v>2032</v>
      </c>
      <c r="Y1059" s="29"/>
      <c r="Z1059" s="29"/>
      <c r="AA1059" s="29"/>
      <c r="AB1059" s="27" t="s">
        <v>2093</v>
      </c>
      <c r="AC1059" s="27"/>
      <c r="AD1059" s="27"/>
      <c r="AE1059" s="31">
        <f>12899.94</f>
        <v>12899.94</v>
      </c>
      <c r="AF1059" s="31"/>
      <c r="AG1059" s="31"/>
    </row>
    <row r="1060" spans="1:33" s="1" customFormat="1" ht="33" customHeight="1">
      <c r="A1060" s="24" t="s">
        <v>1419</v>
      </c>
      <c r="B1060" s="25" t="s">
        <v>1420</v>
      </c>
      <c r="C1060" s="25"/>
      <c r="D1060" s="25"/>
      <c r="E1060" s="26" t="s">
        <v>1421</v>
      </c>
      <c r="F1060" s="26"/>
      <c r="G1060" s="26"/>
      <c r="H1060" s="26"/>
      <c r="I1060" s="26"/>
      <c r="J1060" s="27" t="s">
        <v>2093</v>
      </c>
      <c r="K1060" s="27"/>
      <c r="L1060" s="27"/>
      <c r="M1060" s="27"/>
      <c r="N1060" s="28">
        <f>11400</f>
        <v>11400</v>
      </c>
      <c r="O1060" s="28"/>
      <c r="P1060" s="28"/>
      <c r="Q1060" s="27" t="s">
        <v>2032</v>
      </c>
      <c r="R1060" s="27"/>
      <c r="S1060" s="29" t="s">
        <v>2032</v>
      </c>
      <c r="T1060" s="29"/>
      <c r="U1060" s="29"/>
      <c r="V1060" s="29"/>
      <c r="W1060" s="30" t="s">
        <v>2032</v>
      </c>
      <c r="X1060" s="29" t="s">
        <v>2032</v>
      </c>
      <c r="Y1060" s="29"/>
      <c r="Z1060" s="29"/>
      <c r="AA1060" s="29"/>
      <c r="AB1060" s="27" t="s">
        <v>2093</v>
      </c>
      <c r="AC1060" s="27"/>
      <c r="AD1060" s="27"/>
      <c r="AE1060" s="31">
        <f>11400</f>
        <v>11400</v>
      </c>
      <c r="AF1060" s="31"/>
      <c r="AG1060" s="31"/>
    </row>
    <row r="1061" spans="1:33" s="1" customFormat="1" ht="33" customHeight="1">
      <c r="A1061" s="24" t="s">
        <v>1422</v>
      </c>
      <c r="B1061" s="25" t="s">
        <v>1423</v>
      </c>
      <c r="C1061" s="25"/>
      <c r="D1061" s="25"/>
      <c r="E1061" s="26" t="s">
        <v>1424</v>
      </c>
      <c r="F1061" s="26"/>
      <c r="G1061" s="26"/>
      <c r="H1061" s="26"/>
      <c r="I1061" s="26"/>
      <c r="J1061" s="27" t="s">
        <v>2198</v>
      </c>
      <c r="K1061" s="27"/>
      <c r="L1061" s="27"/>
      <c r="M1061" s="27"/>
      <c r="N1061" s="28">
        <f>42000</f>
        <v>42000</v>
      </c>
      <c r="O1061" s="28"/>
      <c r="P1061" s="28"/>
      <c r="Q1061" s="27" t="s">
        <v>2032</v>
      </c>
      <c r="R1061" s="27"/>
      <c r="S1061" s="29" t="s">
        <v>2032</v>
      </c>
      <c r="T1061" s="29"/>
      <c r="U1061" s="29"/>
      <c r="V1061" s="29"/>
      <c r="W1061" s="30" t="s">
        <v>2032</v>
      </c>
      <c r="X1061" s="29" t="s">
        <v>2032</v>
      </c>
      <c r="Y1061" s="29"/>
      <c r="Z1061" s="29"/>
      <c r="AA1061" s="29"/>
      <c r="AB1061" s="27" t="s">
        <v>2198</v>
      </c>
      <c r="AC1061" s="27"/>
      <c r="AD1061" s="27"/>
      <c r="AE1061" s="31">
        <f>42000</f>
        <v>42000</v>
      </c>
      <c r="AF1061" s="31"/>
      <c r="AG1061" s="31"/>
    </row>
    <row r="1062" spans="1:33" s="1" customFormat="1" ht="33" customHeight="1">
      <c r="A1062" s="24" t="s">
        <v>1425</v>
      </c>
      <c r="B1062" s="25" t="s">
        <v>1426</v>
      </c>
      <c r="C1062" s="25"/>
      <c r="D1062" s="25"/>
      <c r="E1062" s="26" t="s">
        <v>1427</v>
      </c>
      <c r="F1062" s="26"/>
      <c r="G1062" s="26"/>
      <c r="H1062" s="26"/>
      <c r="I1062" s="26"/>
      <c r="J1062" s="27" t="s">
        <v>2269</v>
      </c>
      <c r="K1062" s="27"/>
      <c r="L1062" s="27"/>
      <c r="M1062" s="27"/>
      <c r="N1062" s="28">
        <f>78800</f>
        <v>78800</v>
      </c>
      <c r="O1062" s="28"/>
      <c r="P1062" s="28"/>
      <c r="Q1062" s="27" t="s">
        <v>2032</v>
      </c>
      <c r="R1062" s="27"/>
      <c r="S1062" s="29" t="s">
        <v>2032</v>
      </c>
      <c r="T1062" s="29"/>
      <c r="U1062" s="29"/>
      <c r="V1062" s="29"/>
      <c r="W1062" s="30" t="s">
        <v>2032</v>
      </c>
      <c r="X1062" s="29" t="s">
        <v>2032</v>
      </c>
      <c r="Y1062" s="29"/>
      <c r="Z1062" s="29"/>
      <c r="AA1062" s="29"/>
      <c r="AB1062" s="27" t="s">
        <v>2269</v>
      </c>
      <c r="AC1062" s="27"/>
      <c r="AD1062" s="27"/>
      <c r="AE1062" s="31">
        <f>78800</f>
        <v>78800</v>
      </c>
      <c r="AF1062" s="31"/>
      <c r="AG1062" s="31"/>
    </row>
    <row r="1063" spans="1:33" s="1" customFormat="1" ht="33" customHeight="1">
      <c r="A1063" s="24" t="s">
        <v>1428</v>
      </c>
      <c r="B1063" s="25" t="s">
        <v>1429</v>
      </c>
      <c r="C1063" s="25"/>
      <c r="D1063" s="25"/>
      <c r="E1063" s="26" t="s">
        <v>1430</v>
      </c>
      <c r="F1063" s="26"/>
      <c r="G1063" s="26"/>
      <c r="H1063" s="26"/>
      <c r="I1063" s="26"/>
      <c r="J1063" s="27" t="s">
        <v>2123</v>
      </c>
      <c r="K1063" s="27"/>
      <c r="L1063" s="27"/>
      <c r="M1063" s="27"/>
      <c r="N1063" s="28">
        <f>20300</f>
        <v>20300</v>
      </c>
      <c r="O1063" s="28"/>
      <c r="P1063" s="28"/>
      <c r="Q1063" s="27" t="s">
        <v>2032</v>
      </c>
      <c r="R1063" s="27"/>
      <c r="S1063" s="29" t="s">
        <v>2032</v>
      </c>
      <c r="T1063" s="29"/>
      <c r="U1063" s="29"/>
      <c r="V1063" s="29"/>
      <c r="W1063" s="30" t="s">
        <v>2032</v>
      </c>
      <c r="X1063" s="29" t="s">
        <v>2032</v>
      </c>
      <c r="Y1063" s="29"/>
      <c r="Z1063" s="29"/>
      <c r="AA1063" s="29"/>
      <c r="AB1063" s="27" t="s">
        <v>2123</v>
      </c>
      <c r="AC1063" s="27"/>
      <c r="AD1063" s="27"/>
      <c r="AE1063" s="31">
        <f>20300</f>
        <v>20300</v>
      </c>
      <c r="AF1063" s="31"/>
      <c r="AG1063" s="31"/>
    </row>
    <row r="1064" spans="1:33" s="1" customFormat="1" ht="33" customHeight="1">
      <c r="A1064" s="24" t="s">
        <v>1431</v>
      </c>
      <c r="B1064" s="25" t="s">
        <v>1432</v>
      </c>
      <c r="C1064" s="25"/>
      <c r="D1064" s="25"/>
      <c r="E1064" s="26" t="s">
        <v>1433</v>
      </c>
      <c r="F1064" s="26"/>
      <c r="G1064" s="26"/>
      <c r="H1064" s="26"/>
      <c r="I1064" s="26"/>
      <c r="J1064" s="27" t="s">
        <v>2258</v>
      </c>
      <c r="K1064" s="27"/>
      <c r="L1064" s="27"/>
      <c r="M1064" s="27"/>
      <c r="N1064" s="28">
        <f>58626.76</f>
        <v>58626.76</v>
      </c>
      <c r="O1064" s="28"/>
      <c r="P1064" s="28"/>
      <c r="Q1064" s="27" t="s">
        <v>2032</v>
      </c>
      <c r="R1064" s="27"/>
      <c r="S1064" s="29" t="s">
        <v>2032</v>
      </c>
      <c r="T1064" s="29"/>
      <c r="U1064" s="29"/>
      <c r="V1064" s="29"/>
      <c r="W1064" s="30" t="s">
        <v>2032</v>
      </c>
      <c r="X1064" s="29" t="s">
        <v>2032</v>
      </c>
      <c r="Y1064" s="29"/>
      <c r="Z1064" s="29"/>
      <c r="AA1064" s="29"/>
      <c r="AB1064" s="27" t="s">
        <v>2258</v>
      </c>
      <c r="AC1064" s="27"/>
      <c r="AD1064" s="27"/>
      <c r="AE1064" s="31">
        <f>58626.76</f>
        <v>58626.76</v>
      </c>
      <c r="AF1064" s="31"/>
      <c r="AG1064" s="31"/>
    </row>
    <row r="1065" spans="1:33" s="1" customFormat="1" ht="33" customHeight="1">
      <c r="A1065" s="24" t="s">
        <v>1434</v>
      </c>
      <c r="B1065" s="25" t="s">
        <v>1435</v>
      </c>
      <c r="C1065" s="25"/>
      <c r="D1065" s="25"/>
      <c r="E1065" s="26" t="s">
        <v>1436</v>
      </c>
      <c r="F1065" s="26"/>
      <c r="G1065" s="26"/>
      <c r="H1065" s="26"/>
      <c r="I1065" s="26"/>
      <c r="J1065" s="27" t="s">
        <v>2065</v>
      </c>
      <c r="K1065" s="27"/>
      <c r="L1065" s="27"/>
      <c r="M1065" s="27"/>
      <c r="N1065" s="28">
        <f>7600</f>
        <v>7600</v>
      </c>
      <c r="O1065" s="28"/>
      <c r="P1065" s="28"/>
      <c r="Q1065" s="27" t="s">
        <v>2032</v>
      </c>
      <c r="R1065" s="27"/>
      <c r="S1065" s="29" t="s">
        <v>2032</v>
      </c>
      <c r="T1065" s="29"/>
      <c r="U1065" s="29"/>
      <c r="V1065" s="29"/>
      <c r="W1065" s="30" t="s">
        <v>2032</v>
      </c>
      <c r="X1065" s="29" t="s">
        <v>2032</v>
      </c>
      <c r="Y1065" s="29"/>
      <c r="Z1065" s="29"/>
      <c r="AA1065" s="29"/>
      <c r="AB1065" s="27" t="s">
        <v>2065</v>
      </c>
      <c r="AC1065" s="27"/>
      <c r="AD1065" s="27"/>
      <c r="AE1065" s="31">
        <f>7600</f>
        <v>7600</v>
      </c>
      <c r="AF1065" s="31"/>
      <c r="AG1065" s="31"/>
    </row>
    <row r="1066" spans="1:33" s="1" customFormat="1" ht="33" customHeight="1">
      <c r="A1066" s="24" t="s">
        <v>1437</v>
      </c>
      <c r="B1066" s="25" t="s">
        <v>1438</v>
      </c>
      <c r="C1066" s="25"/>
      <c r="D1066" s="25"/>
      <c r="E1066" s="26" t="s">
        <v>1439</v>
      </c>
      <c r="F1066" s="26"/>
      <c r="G1066" s="26"/>
      <c r="H1066" s="26"/>
      <c r="I1066" s="26"/>
      <c r="J1066" s="27" t="s">
        <v>2183</v>
      </c>
      <c r="K1066" s="27"/>
      <c r="L1066" s="27"/>
      <c r="M1066" s="27"/>
      <c r="N1066" s="28">
        <f>38925</f>
        <v>38925</v>
      </c>
      <c r="O1066" s="28"/>
      <c r="P1066" s="28"/>
      <c r="Q1066" s="27" t="s">
        <v>2032</v>
      </c>
      <c r="R1066" s="27"/>
      <c r="S1066" s="29" t="s">
        <v>2032</v>
      </c>
      <c r="T1066" s="29"/>
      <c r="U1066" s="29"/>
      <c r="V1066" s="29"/>
      <c r="W1066" s="30" t="s">
        <v>2032</v>
      </c>
      <c r="X1066" s="29" t="s">
        <v>2032</v>
      </c>
      <c r="Y1066" s="29"/>
      <c r="Z1066" s="29"/>
      <c r="AA1066" s="29"/>
      <c r="AB1066" s="27" t="s">
        <v>2183</v>
      </c>
      <c r="AC1066" s="27"/>
      <c r="AD1066" s="27"/>
      <c r="AE1066" s="31">
        <f>38925</f>
        <v>38925</v>
      </c>
      <c r="AF1066" s="31"/>
      <c r="AG1066" s="31"/>
    </row>
    <row r="1067" spans="1:33" s="1" customFormat="1" ht="46.5" customHeight="1">
      <c r="A1067" s="24" t="s">
        <v>1440</v>
      </c>
      <c r="B1067" s="25" t="s">
        <v>1441</v>
      </c>
      <c r="C1067" s="25"/>
      <c r="D1067" s="25"/>
      <c r="E1067" s="26" t="s">
        <v>1442</v>
      </c>
      <c r="F1067" s="26"/>
      <c r="G1067" s="26"/>
      <c r="H1067" s="26"/>
      <c r="I1067" s="26"/>
      <c r="J1067" s="27" t="s">
        <v>2748</v>
      </c>
      <c r="K1067" s="27"/>
      <c r="L1067" s="27"/>
      <c r="M1067" s="27"/>
      <c r="N1067" s="28">
        <f>216250</f>
        <v>216250</v>
      </c>
      <c r="O1067" s="28"/>
      <c r="P1067" s="28"/>
      <c r="Q1067" s="27" t="s">
        <v>2032</v>
      </c>
      <c r="R1067" s="27"/>
      <c r="S1067" s="29" t="s">
        <v>2032</v>
      </c>
      <c r="T1067" s="29"/>
      <c r="U1067" s="29"/>
      <c r="V1067" s="29"/>
      <c r="W1067" s="30" t="s">
        <v>2032</v>
      </c>
      <c r="X1067" s="29" t="s">
        <v>2032</v>
      </c>
      <c r="Y1067" s="29"/>
      <c r="Z1067" s="29"/>
      <c r="AA1067" s="29"/>
      <c r="AB1067" s="27" t="s">
        <v>2748</v>
      </c>
      <c r="AC1067" s="27"/>
      <c r="AD1067" s="27"/>
      <c r="AE1067" s="31">
        <f>216250</f>
        <v>216250</v>
      </c>
      <c r="AF1067" s="31"/>
      <c r="AG1067" s="31"/>
    </row>
    <row r="1068" spans="1:33" s="1" customFormat="1" ht="18.75" customHeight="1">
      <c r="A1068" s="24" t="s">
        <v>1443</v>
      </c>
      <c r="B1068" s="25" t="s">
        <v>1444</v>
      </c>
      <c r="C1068" s="25"/>
      <c r="D1068" s="25"/>
      <c r="E1068" s="26" t="s">
        <v>1445</v>
      </c>
      <c r="F1068" s="26"/>
      <c r="G1068" s="26"/>
      <c r="H1068" s="26"/>
      <c r="I1068" s="26"/>
      <c r="J1068" s="27" t="s">
        <v>2063</v>
      </c>
      <c r="K1068" s="27"/>
      <c r="L1068" s="27"/>
      <c r="M1068" s="27"/>
      <c r="N1068" s="28">
        <f>2000</f>
        <v>2000</v>
      </c>
      <c r="O1068" s="28"/>
      <c r="P1068" s="28"/>
      <c r="Q1068" s="27" t="s">
        <v>2032</v>
      </c>
      <c r="R1068" s="27"/>
      <c r="S1068" s="29" t="s">
        <v>2032</v>
      </c>
      <c r="T1068" s="29"/>
      <c r="U1068" s="29"/>
      <c r="V1068" s="29"/>
      <c r="W1068" s="30" t="s">
        <v>2032</v>
      </c>
      <c r="X1068" s="29" t="s">
        <v>2032</v>
      </c>
      <c r="Y1068" s="29"/>
      <c r="Z1068" s="29"/>
      <c r="AA1068" s="29"/>
      <c r="AB1068" s="27" t="s">
        <v>2063</v>
      </c>
      <c r="AC1068" s="27"/>
      <c r="AD1068" s="27"/>
      <c r="AE1068" s="31">
        <f>2000</f>
        <v>2000</v>
      </c>
      <c r="AF1068" s="31"/>
      <c r="AG1068" s="31"/>
    </row>
    <row r="1069" spans="1:33" s="1" customFormat="1" ht="33" customHeight="1">
      <c r="A1069" s="24" t="s">
        <v>1446</v>
      </c>
      <c r="B1069" s="25" t="s">
        <v>1447</v>
      </c>
      <c r="C1069" s="25"/>
      <c r="D1069" s="25"/>
      <c r="E1069" s="26" t="s">
        <v>1448</v>
      </c>
      <c r="F1069" s="26"/>
      <c r="G1069" s="26"/>
      <c r="H1069" s="26"/>
      <c r="I1069" s="26"/>
      <c r="J1069" s="27" t="s">
        <v>2063</v>
      </c>
      <c r="K1069" s="27"/>
      <c r="L1069" s="27"/>
      <c r="M1069" s="27"/>
      <c r="N1069" s="28">
        <f>13280</f>
        <v>13280</v>
      </c>
      <c r="O1069" s="28"/>
      <c r="P1069" s="28"/>
      <c r="Q1069" s="27" t="s">
        <v>2032</v>
      </c>
      <c r="R1069" s="27"/>
      <c r="S1069" s="29" t="s">
        <v>2032</v>
      </c>
      <c r="T1069" s="29"/>
      <c r="U1069" s="29"/>
      <c r="V1069" s="29"/>
      <c r="W1069" s="30" t="s">
        <v>2032</v>
      </c>
      <c r="X1069" s="29" t="s">
        <v>2032</v>
      </c>
      <c r="Y1069" s="29"/>
      <c r="Z1069" s="29"/>
      <c r="AA1069" s="29"/>
      <c r="AB1069" s="27" t="s">
        <v>2063</v>
      </c>
      <c r="AC1069" s="27"/>
      <c r="AD1069" s="27"/>
      <c r="AE1069" s="31">
        <f>13280</f>
        <v>13280</v>
      </c>
      <c r="AF1069" s="31"/>
      <c r="AG1069" s="31"/>
    </row>
    <row r="1070" spans="1:33" s="1" customFormat="1" ht="33" customHeight="1">
      <c r="A1070" s="24" t="s">
        <v>1449</v>
      </c>
      <c r="B1070" s="25" t="s">
        <v>1450</v>
      </c>
      <c r="C1070" s="25"/>
      <c r="D1070" s="25"/>
      <c r="E1070" s="26" t="s">
        <v>1451</v>
      </c>
      <c r="F1070" s="26"/>
      <c r="G1070" s="26"/>
      <c r="H1070" s="26"/>
      <c r="I1070" s="26"/>
      <c r="J1070" s="27" t="s">
        <v>2061</v>
      </c>
      <c r="K1070" s="27"/>
      <c r="L1070" s="27"/>
      <c r="M1070" s="27"/>
      <c r="N1070" s="28">
        <f>9960</f>
        <v>9960</v>
      </c>
      <c r="O1070" s="28"/>
      <c r="P1070" s="28"/>
      <c r="Q1070" s="27" t="s">
        <v>2032</v>
      </c>
      <c r="R1070" s="27"/>
      <c r="S1070" s="29" t="s">
        <v>2032</v>
      </c>
      <c r="T1070" s="29"/>
      <c r="U1070" s="29"/>
      <c r="V1070" s="29"/>
      <c r="W1070" s="30" t="s">
        <v>2032</v>
      </c>
      <c r="X1070" s="29" t="s">
        <v>2032</v>
      </c>
      <c r="Y1070" s="29"/>
      <c r="Z1070" s="29"/>
      <c r="AA1070" s="29"/>
      <c r="AB1070" s="27" t="s">
        <v>2061</v>
      </c>
      <c r="AC1070" s="27"/>
      <c r="AD1070" s="27"/>
      <c r="AE1070" s="31">
        <f>9960</f>
        <v>9960</v>
      </c>
      <c r="AF1070" s="31"/>
      <c r="AG1070" s="31"/>
    </row>
    <row r="1071" spans="1:33" s="1" customFormat="1" ht="33" customHeight="1">
      <c r="A1071" s="24" t="s">
        <v>1452</v>
      </c>
      <c r="B1071" s="25" t="s">
        <v>1453</v>
      </c>
      <c r="C1071" s="25"/>
      <c r="D1071" s="25"/>
      <c r="E1071" s="26" t="s">
        <v>1454</v>
      </c>
      <c r="F1071" s="26"/>
      <c r="G1071" s="26"/>
      <c r="H1071" s="26"/>
      <c r="I1071" s="26"/>
      <c r="J1071" s="27" t="s">
        <v>2056</v>
      </c>
      <c r="K1071" s="27"/>
      <c r="L1071" s="27"/>
      <c r="M1071" s="27"/>
      <c r="N1071" s="28">
        <f>2750</f>
        <v>2750</v>
      </c>
      <c r="O1071" s="28"/>
      <c r="P1071" s="28"/>
      <c r="Q1071" s="27" t="s">
        <v>2032</v>
      </c>
      <c r="R1071" s="27"/>
      <c r="S1071" s="29" t="s">
        <v>2032</v>
      </c>
      <c r="T1071" s="29"/>
      <c r="U1071" s="29"/>
      <c r="V1071" s="29"/>
      <c r="W1071" s="30" t="s">
        <v>2032</v>
      </c>
      <c r="X1071" s="29" t="s">
        <v>2032</v>
      </c>
      <c r="Y1071" s="29"/>
      <c r="Z1071" s="29"/>
      <c r="AA1071" s="29"/>
      <c r="AB1071" s="27" t="s">
        <v>2056</v>
      </c>
      <c r="AC1071" s="27"/>
      <c r="AD1071" s="27"/>
      <c r="AE1071" s="31">
        <f>2750</f>
        <v>2750</v>
      </c>
      <c r="AF1071" s="31"/>
      <c r="AG1071" s="31"/>
    </row>
    <row r="1072" spans="1:33" s="1" customFormat="1" ht="18.75" customHeight="1">
      <c r="A1072" s="24" t="s">
        <v>1455</v>
      </c>
      <c r="B1072" s="25" t="s">
        <v>1456</v>
      </c>
      <c r="C1072" s="25"/>
      <c r="D1072" s="25"/>
      <c r="E1072" s="26" t="s">
        <v>1457</v>
      </c>
      <c r="F1072" s="26"/>
      <c r="G1072" s="26"/>
      <c r="H1072" s="26"/>
      <c r="I1072" s="26"/>
      <c r="J1072" s="27" t="s">
        <v>2056</v>
      </c>
      <c r="K1072" s="27"/>
      <c r="L1072" s="27"/>
      <c r="M1072" s="27"/>
      <c r="N1072" s="28">
        <f>1190</f>
        <v>1190</v>
      </c>
      <c r="O1072" s="28"/>
      <c r="P1072" s="28"/>
      <c r="Q1072" s="27" t="s">
        <v>2032</v>
      </c>
      <c r="R1072" s="27"/>
      <c r="S1072" s="29" t="s">
        <v>2032</v>
      </c>
      <c r="T1072" s="29"/>
      <c r="U1072" s="29"/>
      <c r="V1072" s="29"/>
      <c r="W1072" s="30" t="s">
        <v>2032</v>
      </c>
      <c r="X1072" s="29" t="s">
        <v>2032</v>
      </c>
      <c r="Y1072" s="29"/>
      <c r="Z1072" s="29"/>
      <c r="AA1072" s="29"/>
      <c r="AB1072" s="27" t="s">
        <v>2056</v>
      </c>
      <c r="AC1072" s="27"/>
      <c r="AD1072" s="27"/>
      <c r="AE1072" s="31">
        <f>1190</f>
        <v>1190</v>
      </c>
      <c r="AF1072" s="31"/>
      <c r="AG1072" s="31"/>
    </row>
    <row r="1073" spans="1:33" s="1" customFormat="1" ht="18.75" customHeight="1">
      <c r="A1073" s="24" t="s">
        <v>1458</v>
      </c>
      <c r="B1073" s="25" t="s">
        <v>1459</v>
      </c>
      <c r="C1073" s="25"/>
      <c r="D1073" s="25"/>
      <c r="E1073" s="26" t="s">
        <v>1460</v>
      </c>
      <c r="F1073" s="26"/>
      <c r="G1073" s="26"/>
      <c r="H1073" s="26"/>
      <c r="I1073" s="26"/>
      <c r="J1073" s="27" t="s">
        <v>2056</v>
      </c>
      <c r="K1073" s="27"/>
      <c r="L1073" s="27"/>
      <c r="M1073" s="27"/>
      <c r="N1073" s="28">
        <f>970</f>
        <v>970</v>
      </c>
      <c r="O1073" s="28"/>
      <c r="P1073" s="28"/>
      <c r="Q1073" s="27" t="s">
        <v>2032</v>
      </c>
      <c r="R1073" s="27"/>
      <c r="S1073" s="29" t="s">
        <v>2032</v>
      </c>
      <c r="T1073" s="29"/>
      <c r="U1073" s="29"/>
      <c r="V1073" s="29"/>
      <c r="W1073" s="30" t="s">
        <v>2032</v>
      </c>
      <c r="X1073" s="29" t="s">
        <v>2032</v>
      </c>
      <c r="Y1073" s="29"/>
      <c r="Z1073" s="29"/>
      <c r="AA1073" s="29"/>
      <c r="AB1073" s="27" t="s">
        <v>2056</v>
      </c>
      <c r="AC1073" s="27"/>
      <c r="AD1073" s="27"/>
      <c r="AE1073" s="31">
        <f>970</f>
        <v>970</v>
      </c>
      <c r="AF1073" s="31"/>
      <c r="AG1073" s="31"/>
    </row>
    <row r="1074" spans="1:33" s="1" customFormat="1" ht="33" customHeight="1">
      <c r="A1074" s="24" t="s">
        <v>1461</v>
      </c>
      <c r="B1074" s="25" t="s">
        <v>1462</v>
      </c>
      <c r="C1074" s="25"/>
      <c r="D1074" s="25"/>
      <c r="E1074" s="26" t="s">
        <v>1463</v>
      </c>
      <c r="F1074" s="26"/>
      <c r="G1074" s="26"/>
      <c r="H1074" s="26"/>
      <c r="I1074" s="26"/>
      <c r="J1074" s="27" t="s">
        <v>2099</v>
      </c>
      <c r="K1074" s="27"/>
      <c r="L1074" s="27"/>
      <c r="M1074" s="27"/>
      <c r="N1074" s="28">
        <f>11900</f>
        <v>11900</v>
      </c>
      <c r="O1074" s="28"/>
      <c r="P1074" s="28"/>
      <c r="Q1074" s="27" t="s">
        <v>2032</v>
      </c>
      <c r="R1074" s="27"/>
      <c r="S1074" s="29" t="s">
        <v>2032</v>
      </c>
      <c r="T1074" s="29"/>
      <c r="U1074" s="29"/>
      <c r="V1074" s="29"/>
      <c r="W1074" s="30" t="s">
        <v>2032</v>
      </c>
      <c r="X1074" s="29" t="s">
        <v>2032</v>
      </c>
      <c r="Y1074" s="29"/>
      <c r="Z1074" s="29"/>
      <c r="AA1074" s="29"/>
      <c r="AB1074" s="27" t="s">
        <v>2099</v>
      </c>
      <c r="AC1074" s="27"/>
      <c r="AD1074" s="27"/>
      <c r="AE1074" s="31">
        <f>11900</f>
        <v>11900</v>
      </c>
      <c r="AF1074" s="31"/>
      <c r="AG1074" s="31"/>
    </row>
    <row r="1075" spans="1:33" s="1" customFormat="1" ht="33" customHeight="1">
      <c r="A1075" s="24" t="s">
        <v>1464</v>
      </c>
      <c r="B1075" s="25" t="s">
        <v>1465</v>
      </c>
      <c r="C1075" s="25"/>
      <c r="D1075" s="25"/>
      <c r="E1075" s="26" t="s">
        <v>1466</v>
      </c>
      <c r="F1075" s="26"/>
      <c r="G1075" s="26"/>
      <c r="H1075" s="26"/>
      <c r="I1075" s="26"/>
      <c r="J1075" s="27" t="s">
        <v>2056</v>
      </c>
      <c r="K1075" s="27"/>
      <c r="L1075" s="27"/>
      <c r="M1075" s="27"/>
      <c r="N1075" s="28">
        <f>2700</f>
        <v>2700</v>
      </c>
      <c r="O1075" s="28"/>
      <c r="P1075" s="28"/>
      <c r="Q1075" s="27" t="s">
        <v>2032</v>
      </c>
      <c r="R1075" s="27"/>
      <c r="S1075" s="29" t="s">
        <v>2032</v>
      </c>
      <c r="T1075" s="29"/>
      <c r="U1075" s="29"/>
      <c r="V1075" s="29"/>
      <c r="W1075" s="30" t="s">
        <v>2032</v>
      </c>
      <c r="X1075" s="29" t="s">
        <v>2032</v>
      </c>
      <c r="Y1075" s="29"/>
      <c r="Z1075" s="29"/>
      <c r="AA1075" s="29"/>
      <c r="AB1075" s="27" t="s">
        <v>2056</v>
      </c>
      <c r="AC1075" s="27"/>
      <c r="AD1075" s="27"/>
      <c r="AE1075" s="31">
        <f>2700</f>
        <v>2700</v>
      </c>
      <c r="AF1075" s="31"/>
      <c r="AG1075" s="31"/>
    </row>
    <row r="1076" spans="1:33" s="1" customFormat="1" ht="18.75" customHeight="1">
      <c r="A1076" s="24" t="s">
        <v>1467</v>
      </c>
      <c r="B1076" s="25" t="s">
        <v>1468</v>
      </c>
      <c r="C1076" s="25"/>
      <c r="D1076" s="25"/>
      <c r="E1076" s="26" t="s">
        <v>1469</v>
      </c>
      <c r="F1076" s="26"/>
      <c r="G1076" s="26"/>
      <c r="H1076" s="26"/>
      <c r="I1076" s="26"/>
      <c r="J1076" s="27" t="s">
        <v>2056</v>
      </c>
      <c r="K1076" s="27"/>
      <c r="L1076" s="27"/>
      <c r="M1076" s="27"/>
      <c r="N1076" s="28">
        <f>1239.06</f>
        <v>1239.06</v>
      </c>
      <c r="O1076" s="28"/>
      <c r="P1076" s="28"/>
      <c r="Q1076" s="27" t="s">
        <v>2032</v>
      </c>
      <c r="R1076" s="27"/>
      <c r="S1076" s="29" t="s">
        <v>2032</v>
      </c>
      <c r="T1076" s="29"/>
      <c r="U1076" s="29"/>
      <c r="V1076" s="29"/>
      <c r="W1076" s="30" t="s">
        <v>2032</v>
      </c>
      <c r="X1076" s="29" t="s">
        <v>2032</v>
      </c>
      <c r="Y1076" s="29"/>
      <c r="Z1076" s="29"/>
      <c r="AA1076" s="29"/>
      <c r="AB1076" s="27" t="s">
        <v>2056</v>
      </c>
      <c r="AC1076" s="27"/>
      <c r="AD1076" s="27"/>
      <c r="AE1076" s="31">
        <f>1239.06</f>
        <v>1239.06</v>
      </c>
      <c r="AF1076" s="31"/>
      <c r="AG1076" s="31"/>
    </row>
    <row r="1077" spans="1:33" s="1" customFormat="1" ht="18.75" customHeight="1">
      <c r="A1077" s="24" t="s">
        <v>1470</v>
      </c>
      <c r="B1077" s="25" t="s">
        <v>1471</v>
      </c>
      <c r="C1077" s="25"/>
      <c r="D1077" s="25"/>
      <c r="E1077" s="26" t="s">
        <v>1469</v>
      </c>
      <c r="F1077" s="26"/>
      <c r="G1077" s="26"/>
      <c r="H1077" s="26"/>
      <c r="I1077" s="26"/>
      <c r="J1077" s="27" t="s">
        <v>2056</v>
      </c>
      <c r="K1077" s="27"/>
      <c r="L1077" s="27"/>
      <c r="M1077" s="27"/>
      <c r="N1077" s="28">
        <f>1460.55</f>
        <v>1460.55</v>
      </c>
      <c r="O1077" s="28"/>
      <c r="P1077" s="28"/>
      <c r="Q1077" s="27" t="s">
        <v>2032</v>
      </c>
      <c r="R1077" s="27"/>
      <c r="S1077" s="29" t="s">
        <v>2032</v>
      </c>
      <c r="T1077" s="29"/>
      <c r="U1077" s="29"/>
      <c r="V1077" s="29"/>
      <c r="W1077" s="30" t="s">
        <v>2032</v>
      </c>
      <c r="X1077" s="29" t="s">
        <v>2032</v>
      </c>
      <c r="Y1077" s="29"/>
      <c r="Z1077" s="29"/>
      <c r="AA1077" s="29"/>
      <c r="AB1077" s="27" t="s">
        <v>2056</v>
      </c>
      <c r="AC1077" s="27"/>
      <c r="AD1077" s="27"/>
      <c r="AE1077" s="31">
        <f>1460.55</f>
        <v>1460.55</v>
      </c>
      <c r="AF1077" s="31"/>
      <c r="AG1077" s="31"/>
    </row>
    <row r="1078" spans="1:33" s="1" customFormat="1" ht="18.75" customHeight="1">
      <c r="A1078" s="24" t="s">
        <v>1472</v>
      </c>
      <c r="B1078" s="25" t="s">
        <v>1473</v>
      </c>
      <c r="C1078" s="25"/>
      <c r="D1078" s="25"/>
      <c r="E1078" s="26" t="s">
        <v>1469</v>
      </c>
      <c r="F1078" s="26"/>
      <c r="G1078" s="26"/>
      <c r="H1078" s="26"/>
      <c r="I1078" s="26"/>
      <c r="J1078" s="27" t="s">
        <v>2056</v>
      </c>
      <c r="K1078" s="27"/>
      <c r="L1078" s="27"/>
      <c r="M1078" s="27"/>
      <c r="N1078" s="28">
        <f>1239.06</f>
        <v>1239.06</v>
      </c>
      <c r="O1078" s="28"/>
      <c r="P1078" s="28"/>
      <c r="Q1078" s="27" t="s">
        <v>2032</v>
      </c>
      <c r="R1078" s="27"/>
      <c r="S1078" s="29" t="s">
        <v>2032</v>
      </c>
      <c r="T1078" s="29"/>
      <c r="U1078" s="29"/>
      <c r="V1078" s="29"/>
      <c r="W1078" s="30" t="s">
        <v>2032</v>
      </c>
      <c r="X1078" s="29" t="s">
        <v>2032</v>
      </c>
      <c r="Y1078" s="29"/>
      <c r="Z1078" s="29"/>
      <c r="AA1078" s="29"/>
      <c r="AB1078" s="27" t="s">
        <v>2056</v>
      </c>
      <c r="AC1078" s="27"/>
      <c r="AD1078" s="27"/>
      <c r="AE1078" s="31">
        <f>1239.06</f>
        <v>1239.06</v>
      </c>
      <c r="AF1078" s="31"/>
      <c r="AG1078" s="31"/>
    </row>
    <row r="1079" spans="1:33" s="1" customFormat="1" ht="18.75" customHeight="1">
      <c r="A1079" s="24" t="s">
        <v>1474</v>
      </c>
      <c r="B1079" s="25" t="s">
        <v>1475</v>
      </c>
      <c r="C1079" s="25"/>
      <c r="D1079" s="25"/>
      <c r="E1079" s="26" t="s">
        <v>1469</v>
      </c>
      <c r="F1079" s="26"/>
      <c r="G1079" s="26"/>
      <c r="H1079" s="26"/>
      <c r="I1079" s="26"/>
      <c r="J1079" s="27" t="s">
        <v>2056</v>
      </c>
      <c r="K1079" s="27"/>
      <c r="L1079" s="27"/>
      <c r="M1079" s="27"/>
      <c r="N1079" s="28">
        <f>1460.55</f>
        <v>1460.55</v>
      </c>
      <c r="O1079" s="28"/>
      <c r="P1079" s="28"/>
      <c r="Q1079" s="27" t="s">
        <v>2032</v>
      </c>
      <c r="R1079" s="27"/>
      <c r="S1079" s="29" t="s">
        <v>2032</v>
      </c>
      <c r="T1079" s="29"/>
      <c r="U1079" s="29"/>
      <c r="V1079" s="29"/>
      <c r="W1079" s="30" t="s">
        <v>2032</v>
      </c>
      <c r="X1079" s="29" t="s">
        <v>2032</v>
      </c>
      <c r="Y1079" s="29"/>
      <c r="Z1079" s="29"/>
      <c r="AA1079" s="29"/>
      <c r="AB1079" s="27" t="s">
        <v>2056</v>
      </c>
      <c r="AC1079" s="27"/>
      <c r="AD1079" s="27"/>
      <c r="AE1079" s="31">
        <f>1460.55</f>
        <v>1460.55</v>
      </c>
      <c r="AF1079" s="31"/>
      <c r="AG1079" s="31"/>
    </row>
    <row r="1080" spans="1:33" s="1" customFormat="1" ht="18.75" customHeight="1">
      <c r="A1080" s="24" t="s">
        <v>1476</v>
      </c>
      <c r="B1080" s="25" t="s">
        <v>1477</v>
      </c>
      <c r="C1080" s="25"/>
      <c r="D1080" s="25"/>
      <c r="E1080" s="26" t="s">
        <v>1478</v>
      </c>
      <c r="F1080" s="26"/>
      <c r="G1080" s="26"/>
      <c r="H1080" s="26"/>
      <c r="I1080" s="26"/>
      <c r="J1080" s="27" t="s">
        <v>2056</v>
      </c>
      <c r="K1080" s="27"/>
      <c r="L1080" s="27"/>
      <c r="M1080" s="27"/>
      <c r="N1080" s="28">
        <f>980</f>
        <v>980</v>
      </c>
      <c r="O1080" s="28"/>
      <c r="P1080" s="28"/>
      <c r="Q1080" s="27" t="s">
        <v>2032</v>
      </c>
      <c r="R1080" s="27"/>
      <c r="S1080" s="29" t="s">
        <v>2032</v>
      </c>
      <c r="T1080" s="29"/>
      <c r="U1080" s="29"/>
      <c r="V1080" s="29"/>
      <c r="W1080" s="30" t="s">
        <v>2032</v>
      </c>
      <c r="X1080" s="29" t="s">
        <v>2032</v>
      </c>
      <c r="Y1080" s="29"/>
      <c r="Z1080" s="29"/>
      <c r="AA1080" s="29"/>
      <c r="AB1080" s="27" t="s">
        <v>2056</v>
      </c>
      <c r="AC1080" s="27"/>
      <c r="AD1080" s="27"/>
      <c r="AE1080" s="31">
        <f>980</f>
        <v>980</v>
      </c>
      <c r="AF1080" s="31"/>
      <c r="AG1080" s="31"/>
    </row>
    <row r="1081" spans="1:33" s="1" customFormat="1" ht="18.75" customHeight="1">
      <c r="A1081" s="24" t="s">
        <v>1479</v>
      </c>
      <c r="B1081" s="25" t="s">
        <v>1031</v>
      </c>
      <c r="C1081" s="25"/>
      <c r="D1081" s="25"/>
      <c r="E1081" s="26" t="s">
        <v>1480</v>
      </c>
      <c r="F1081" s="26"/>
      <c r="G1081" s="26"/>
      <c r="H1081" s="26"/>
      <c r="I1081" s="26"/>
      <c r="J1081" s="27" t="s">
        <v>2058</v>
      </c>
      <c r="K1081" s="27"/>
      <c r="L1081" s="27"/>
      <c r="M1081" s="27"/>
      <c r="N1081" s="28">
        <f>416.46</f>
        <v>416.46</v>
      </c>
      <c r="O1081" s="28"/>
      <c r="P1081" s="28"/>
      <c r="Q1081" s="27" t="s">
        <v>2032</v>
      </c>
      <c r="R1081" s="27"/>
      <c r="S1081" s="29" t="s">
        <v>2032</v>
      </c>
      <c r="T1081" s="29"/>
      <c r="U1081" s="29"/>
      <c r="V1081" s="29"/>
      <c r="W1081" s="30" t="s">
        <v>2032</v>
      </c>
      <c r="X1081" s="29" t="s">
        <v>2032</v>
      </c>
      <c r="Y1081" s="29"/>
      <c r="Z1081" s="29"/>
      <c r="AA1081" s="29"/>
      <c r="AB1081" s="27" t="s">
        <v>2058</v>
      </c>
      <c r="AC1081" s="27"/>
      <c r="AD1081" s="27"/>
      <c r="AE1081" s="31">
        <f>416.46</f>
        <v>416.46</v>
      </c>
      <c r="AF1081" s="31"/>
      <c r="AG1081" s="31"/>
    </row>
    <row r="1082" spans="1:33" s="1" customFormat="1" ht="18.75" customHeight="1">
      <c r="A1082" s="24" t="s">
        <v>1481</v>
      </c>
      <c r="B1082" s="25" t="s">
        <v>1482</v>
      </c>
      <c r="C1082" s="25"/>
      <c r="D1082" s="25"/>
      <c r="E1082" s="26" t="s">
        <v>1483</v>
      </c>
      <c r="F1082" s="26"/>
      <c r="G1082" s="26"/>
      <c r="H1082" s="26"/>
      <c r="I1082" s="26"/>
      <c r="J1082" s="27" t="s">
        <v>2060</v>
      </c>
      <c r="K1082" s="27"/>
      <c r="L1082" s="27"/>
      <c r="M1082" s="27"/>
      <c r="N1082" s="28">
        <f>1110.64</f>
        <v>1110.64</v>
      </c>
      <c r="O1082" s="28"/>
      <c r="P1082" s="28"/>
      <c r="Q1082" s="27" t="s">
        <v>2032</v>
      </c>
      <c r="R1082" s="27"/>
      <c r="S1082" s="29" t="s">
        <v>2032</v>
      </c>
      <c r="T1082" s="29"/>
      <c r="U1082" s="29"/>
      <c r="V1082" s="29"/>
      <c r="W1082" s="30" t="s">
        <v>2032</v>
      </c>
      <c r="X1082" s="29" t="s">
        <v>2032</v>
      </c>
      <c r="Y1082" s="29"/>
      <c r="Z1082" s="29"/>
      <c r="AA1082" s="29"/>
      <c r="AB1082" s="27" t="s">
        <v>2060</v>
      </c>
      <c r="AC1082" s="27"/>
      <c r="AD1082" s="27"/>
      <c r="AE1082" s="31">
        <f>1110.64</f>
        <v>1110.64</v>
      </c>
      <c r="AF1082" s="31"/>
      <c r="AG1082" s="31"/>
    </row>
    <row r="1083" spans="1:33" s="1" customFormat="1" ht="18.75" customHeight="1">
      <c r="A1083" s="24" t="s">
        <v>1484</v>
      </c>
      <c r="B1083" s="25" t="s">
        <v>1485</v>
      </c>
      <c r="C1083" s="25"/>
      <c r="D1083" s="25"/>
      <c r="E1083" s="26" t="s">
        <v>1486</v>
      </c>
      <c r="F1083" s="26"/>
      <c r="G1083" s="26"/>
      <c r="H1083" s="26"/>
      <c r="I1083" s="26"/>
      <c r="J1083" s="27" t="s">
        <v>2056</v>
      </c>
      <c r="K1083" s="27"/>
      <c r="L1083" s="27"/>
      <c r="M1083" s="27"/>
      <c r="N1083" s="28">
        <f>208.23</f>
        <v>208.23</v>
      </c>
      <c r="O1083" s="28"/>
      <c r="P1083" s="28"/>
      <c r="Q1083" s="27" t="s">
        <v>2032</v>
      </c>
      <c r="R1083" s="27"/>
      <c r="S1083" s="29" t="s">
        <v>2032</v>
      </c>
      <c r="T1083" s="29"/>
      <c r="U1083" s="29"/>
      <c r="V1083" s="29"/>
      <c r="W1083" s="30" t="s">
        <v>2032</v>
      </c>
      <c r="X1083" s="29" t="s">
        <v>2032</v>
      </c>
      <c r="Y1083" s="29"/>
      <c r="Z1083" s="29"/>
      <c r="AA1083" s="29"/>
      <c r="AB1083" s="27" t="s">
        <v>2056</v>
      </c>
      <c r="AC1083" s="27"/>
      <c r="AD1083" s="27"/>
      <c r="AE1083" s="31">
        <f>208.23</f>
        <v>208.23</v>
      </c>
      <c r="AF1083" s="31"/>
      <c r="AG1083" s="31"/>
    </row>
    <row r="1084" spans="1:33" s="1" customFormat="1" ht="18.75" customHeight="1">
      <c r="A1084" s="24" t="s">
        <v>1487</v>
      </c>
      <c r="B1084" s="25" t="s">
        <v>325</v>
      </c>
      <c r="C1084" s="25"/>
      <c r="D1084" s="25"/>
      <c r="E1084" s="26" t="s">
        <v>1488</v>
      </c>
      <c r="F1084" s="26"/>
      <c r="G1084" s="26"/>
      <c r="H1084" s="26"/>
      <c r="I1084" s="26"/>
      <c r="J1084" s="27" t="s">
        <v>2087</v>
      </c>
      <c r="K1084" s="27"/>
      <c r="L1084" s="27"/>
      <c r="M1084" s="27"/>
      <c r="N1084" s="28">
        <f>4511.65</f>
        <v>4511.65</v>
      </c>
      <c r="O1084" s="28"/>
      <c r="P1084" s="28"/>
      <c r="Q1084" s="27" t="s">
        <v>2032</v>
      </c>
      <c r="R1084" s="27"/>
      <c r="S1084" s="29" t="s">
        <v>2032</v>
      </c>
      <c r="T1084" s="29"/>
      <c r="U1084" s="29"/>
      <c r="V1084" s="29"/>
      <c r="W1084" s="30" t="s">
        <v>2032</v>
      </c>
      <c r="X1084" s="29" t="s">
        <v>2032</v>
      </c>
      <c r="Y1084" s="29"/>
      <c r="Z1084" s="29"/>
      <c r="AA1084" s="29"/>
      <c r="AB1084" s="27" t="s">
        <v>2087</v>
      </c>
      <c r="AC1084" s="27"/>
      <c r="AD1084" s="27"/>
      <c r="AE1084" s="31">
        <f>4511.65</f>
        <v>4511.65</v>
      </c>
      <c r="AF1084" s="31"/>
      <c r="AG1084" s="31"/>
    </row>
    <row r="1085" spans="1:33" s="1" customFormat="1" ht="18.75" customHeight="1">
      <c r="A1085" s="24" t="s">
        <v>1489</v>
      </c>
      <c r="B1085" s="25" t="s">
        <v>1490</v>
      </c>
      <c r="C1085" s="25"/>
      <c r="D1085" s="25"/>
      <c r="E1085" s="26" t="s">
        <v>1491</v>
      </c>
      <c r="F1085" s="26"/>
      <c r="G1085" s="26"/>
      <c r="H1085" s="26"/>
      <c r="I1085" s="26"/>
      <c r="J1085" s="27" t="s">
        <v>2201</v>
      </c>
      <c r="K1085" s="27"/>
      <c r="L1085" s="27"/>
      <c r="M1085" s="27"/>
      <c r="N1085" s="28">
        <f>5622.21</f>
        <v>5622.21</v>
      </c>
      <c r="O1085" s="28"/>
      <c r="P1085" s="28"/>
      <c r="Q1085" s="27" t="s">
        <v>2032</v>
      </c>
      <c r="R1085" s="27"/>
      <c r="S1085" s="29" t="s">
        <v>2032</v>
      </c>
      <c r="T1085" s="29"/>
      <c r="U1085" s="29"/>
      <c r="V1085" s="29"/>
      <c r="W1085" s="30" t="s">
        <v>2032</v>
      </c>
      <c r="X1085" s="29" t="s">
        <v>2032</v>
      </c>
      <c r="Y1085" s="29"/>
      <c r="Z1085" s="29"/>
      <c r="AA1085" s="29"/>
      <c r="AB1085" s="27" t="s">
        <v>2201</v>
      </c>
      <c r="AC1085" s="27"/>
      <c r="AD1085" s="27"/>
      <c r="AE1085" s="31">
        <f>5622.21</f>
        <v>5622.21</v>
      </c>
      <c r="AF1085" s="31"/>
      <c r="AG1085" s="31"/>
    </row>
    <row r="1086" spans="1:33" s="1" customFormat="1" ht="33" customHeight="1">
      <c r="A1086" s="24" t="s">
        <v>1492</v>
      </c>
      <c r="B1086" s="25" t="s">
        <v>1493</v>
      </c>
      <c r="C1086" s="25"/>
      <c r="D1086" s="25"/>
      <c r="E1086" s="26" t="s">
        <v>1494</v>
      </c>
      <c r="F1086" s="26"/>
      <c r="G1086" s="26"/>
      <c r="H1086" s="26"/>
      <c r="I1086" s="26"/>
      <c r="J1086" s="27" t="s">
        <v>2065</v>
      </c>
      <c r="K1086" s="27"/>
      <c r="L1086" s="27"/>
      <c r="M1086" s="27"/>
      <c r="N1086" s="28">
        <f>2082.3</f>
        <v>2082.3</v>
      </c>
      <c r="O1086" s="28"/>
      <c r="P1086" s="28"/>
      <c r="Q1086" s="27" t="s">
        <v>2032</v>
      </c>
      <c r="R1086" s="27"/>
      <c r="S1086" s="29" t="s">
        <v>2032</v>
      </c>
      <c r="T1086" s="29"/>
      <c r="U1086" s="29"/>
      <c r="V1086" s="29"/>
      <c r="W1086" s="30" t="s">
        <v>2032</v>
      </c>
      <c r="X1086" s="29" t="s">
        <v>2032</v>
      </c>
      <c r="Y1086" s="29"/>
      <c r="Z1086" s="29"/>
      <c r="AA1086" s="29"/>
      <c r="AB1086" s="27" t="s">
        <v>2065</v>
      </c>
      <c r="AC1086" s="27"/>
      <c r="AD1086" s="27"/>
      <c r="AE1086" s="31">
        <f>2082.3</f>
        <v>2082.3</v>
      </c>
      <c r="AF1086" s="31"/>
      <c r="AG1086" s="31"/>
    </row>
    <row r="1087" spans="1:33" s="1" customFormat="1" ht="18.75" customHeight="1">
      <c r="A1087" s="24" t="s">
        <v>1495</v>
      </c>
      <c r="B1087" s="25" t="s">
        <v>840</v>
      </c>
      <c r="C1087" s="25"/>
      <c r="D1087" s="25"/>
      <c r="E1087" s="26" t="s">
        <v>1496</v>
      </c>
      <c r="F1087" s="26"/>
      <c r="G1087" s="26"/>
      <c r="H1087" s="26"/>
      <c r="I1087" s="26"/>
      <c r="J1087" s="27" t="s">
        <v>2058</v>
      </c>
      <c r="K1087" s="27"/>
      <c r="L1087" s="27"/>
      <c r="M1087" s="27"/>
      <c r="N1087" s="28">
        <f>1553.56</f>
        <v>1553.56</v>
      </c>
      <c r="O1087" s="28"/>
      <c r="P1087" s="28"/>
      <c r="Q1087" s="27" t="s">
        <v>2032</v>
      </c>
      <c r="R1087" s="27"/>
      <c r="S1087" s="29" t="s">
        <v>2032</v>
      </c>
      <c r="T1087" s="29"/>
      <c r="U1087" s="29"/>
      <c r="V1087" s="29"/>
      <c r="W1087" s="30" t="s">
        <v>2032</v>
      </c>
      <c r="X1087" s="29" t="s">
        <v>2032</v>
      </c>
      <c r="Y1087" s="29"/>
      <c r="Z1087" s="29"/>
      <c r="AA1087" s="29"/>
      <c r="AB1087" s="27" t="s">
        <v>2058</v>
      </c>
      <c r="AC1087" s="27"/>
      <c r="AD1087" s="27"/>
      <c r="AE1087" s="31">
        <f>1553.56</f>
        <v>1553.56</v>
      </c>
      <c r="AF1087" s="31"/>
      <c r="AG1087" s="31"/>
    </row>
    <row r="1088" spans="1:33" s="1" customFormat="1" ht="18.75" customHeight="1">
      <c r="A1088" s="24" t="s">
        <v>1497</v>
      </c>
      <c r="B1088" s="25" t="s">
        <v>1498</v>
      </c>
      <c r="C1088" s="25"/>
      <c r="D1088" s="25"/>
      <c r="E1088" s="26" t="s">
        <v>1499</v>
      </c>
      <c r="F1088" s="26"/>
      <c r="G1088" s="26"/>
      <c r="H1088" s="26"/>
      <c r="I1088" s="26"/>
      <c r="J1088" s="27" t="s">
        <v>2056</v>
      </c>
      <c r="K1088" s="27"/>
      <c r="L1088" s="27"/>
      <c r="M1088" s="27"/>
      <c r="N1088" s="28">
        <f>167.56</f>
        <v>167.56</v>
      </c>
      <c r="O1088" s="28"/>
      <c r="P1088" s="28"/>
      <c r="Q1088" s="27" t="s">
        <v>2032</v>
      </c>
      <c r="R1088" s="27"/>
      <c r="S1088" s="29" t="s">
        <v>2032</v>
      </c>
      <c r="T1088" s="29"/>
      <c r="U1088" s="29"/>
      <c r="V1088" s="29"/>
      <c r="W1088" s="30" t="s">
        <v>2032</v>
      </c>
      <c r="X1088" s="29" t="s">
        <v>2032</v>
      </c>
      <c r="Y1088" s="29"/>
      <c r="Z1088" s="29"/>
      <c r="AA1088" s="29"/>
      <c r="AB1088" s="27" t="s">
        <v>2056</v>
      </c>
      <c r="AC1088" s="27"/>
      <c r="AD1088" s="27"/>
      <c r="AE1088" s="31">
        <f>167.56</f>
        <v>167.56</v>
      </c>
      <c r="AF1088" s="31"/>
      <c r="AG1088" s="31"/>
    </row>
    <row r="1089" spans="1:33" s="1" customFormat="1" ht="18.75" customHeight="1">
      <c r="A1089" s="24" t="s">
        <v>1500</v>
      </c>
      <c r="B1089" s="25" t="s">
        <v>1501</v>
      </c>
      <c r="C1089" s="25"/>
      <c r="D1089" s="25"/>
      <c r="E1089" s="26" t="s">
        <v>1502</v>
      </c>
      <c r="F1089" s="26"/>
      <c r="G1089" s="26"/>
      <c r="H1089" s="26"/>
      <c r="I1089" s="26"/>
      <c r="J1089" s="27" t="s">
        <v>2056</v>
      </c>
      <c r="K1089" s="27"/>
      <c r="L1089" s="27"/>
      <c r="M1089" s="27"/>
      <c r="N1089" s="28">
        <f>1200.54</f>
        <v>1200.54</v>
      </c>
      <c r="O1089" s="28"/>
      <c r="P1089" s="28"/>
      <c r="Q1089" s="27" t="s">
        <v>2032</v>
      </c>
      <c r="R1089" s="27"/>
      <c r="S1089" s="29" t="s">
        <v>2032</v>
      </c>
      <c r="T1089" s="29"/>
      <c r="U1089" s="29"/>
      <c r="V1089" s="29"/>
      <c r="W1089" s="30" t="s">
        <v>2032</v>
      </c>
      <c r="X1089" s="29" t="s">
        <v>2032</v>
      </c>
      <c r="Y1089" s="29"/>
      <c r="Z1089" s="29"/>
      <c r="AA1089" s="29"/>
      <c r="AB1089" s="27" t="s">
        <v>2056</v>
      </c>
      <c r="AC1089" s="27"/>
      <c r="AD1089" s="27"/>
      <c r="AE1089" s="31">
        <f>1200.54</f>
        <v>1200.54</v>
      </c>
      <c r="AF1089" s="31"/>
      <c r="AG1089" s="31"/>
    </row>
    <row r="1090" spans="1:33" s="1" customFormat="1" ht="18.75" customHeight="1">
      <c r="A1090" s="24" t="s">
        <v>1503</v>
      </c>
      <c r="B1090" s="25" t="s">
        <v>1504</v>
      </c>
      <c r="C1090" s="25"/>
      <c r="D1090" s="25"/>
      <c r="E1090" s="26" t="s">
        <v>1505</v>
      </c>
      <c r="F1090" s="26"/>
      <c r="G1090" s="26"/>
      <c r="H1090" s="26"/>
      <c r="I1090" s="26"/>
      <c r="J1090" s="27" t="s">
        <v>2056</v>
      </c>
      <c r="K1090" s="27"/>
      <c r="L1090" s="27"/>
      <c r="M1090" s="27"/>
      <c r="N1090" s="28">
        <f>365.32</f>
        <v>365.32</v>
      </c>
      <c r="O1090" s="28"/>
      <c r="P1090" s="28"/>
      <c r="Q1090" s="27" t="s">
        <v>2032</v>
      </c>
      <c r="R1090" s="27"/>
      <c r="S1090" s="29" t="s">
        <v>2032</v>
      </c>
      <c r="T1090" s="29"/>
      <c r="U1090" s="29"/>
      <c r="V1090" s="29"/>
      <c r="W1090" s="30" t="s">
        <v>2032</v>
      </c>
      <c r="X1090" s="29" t="s">
        <v>2032</v>
      </c>
      <c r="Y1090" s="29"/>
      <c r="Z1090" s="29"/>
      <c r="AA1090" s="29"/>
      <c r="AB1090" s="27" t="s">
        <v>2056</v>
      </c>
      <c r="AC1090" s="27"/>
      <c r="AD1090" s="27"/>
      <c r="AE1090" s="31">
        <f>365.32</f>
        <v>365.32</v>
      </c>
      <c r="AF1090" s="31"/>
      <c r="AG1090" s="31"/>
    </row>
    <row r="1091" spans="1:33" s="1" customFormat="1" ht="33" customHeight="1">
      <c r="A1091" s="24" t="s">
        <v>1506</v>
      </c>
      <c r="B1091" s="25" t="s">
        <v>1507</v>
      </c>
      <c r="C1091" s="25"/>
      <c r="D1091" s="25"/>
      <c r="E1091" s="26" t="s">
        <v>1508</v>
      </c>
      <c r="F1091" s="26"/>
      <c r="G1091" s="26"/>
      <c r="H1091" s="26"/>
      <c r="I1091" s="26"/>
      <c r="J1091" s="27" t="s">
        <v>2056</v>
      </c>
      <c r="K1091" s="27"/>
      <c r="L1091" s="27"/>
      <c r="M1091" s="27"/>
      <c r="N1091" s="28">
        <f>325</f>
        <v>325</v>
      </c>
      <c r="O1091" s="28"/>
      <c r="P1091" s="28"/>
      <c r="Q1091" s="27" t="s">
        <v>2032</v>
      </c>
      <c r="R1091" s="27"/>
      <c r="S1091" s="29" t="s">
        <v>2032</v>
      </c>
      <c r="T1091" s="29"/>
      <c r="U1091" s="29"/>
      <c r="V1091" s="29"/>
      <c r="W1091" s="30" t="s">
        <v>2032</v>
      </c>
      <c r="X1091" s="29" t="s">
        <v>2032</v>
      </c>
      <c r="Y1091" s="29"/>
      <c r="Z1091" s="29"/>
      <c r="AA1091" s="29"/>
      <c r="AB1091" s="27" t="s">
        <v>2056</v>
      </c>
      <c r="AC1091" s="27"/>
      <c r="AD1091" s="27"/>
      <c r="AE1091" s="31">
        <f>325</f>
        <v>325</v>
      </c>
      <c r="AF1091" s="31"/>
      <c r="AG1091" s="31"/>
    </row>
    <row r="1092" spans="1:33" s="1" customFormat="1" ht="18.75" customHeight="1">
      <c r="A1092" s="24" t="s">
        <v>1509</v>
      </c>
      <c r="B1092" s="25" t="s">
        <v>583</v>
      </c>
      <c r="C1092" s="25"/>
      <c r="D1092" s="25"/>
      <c r="E1092" s="26" t="s">
        <v>1510</v>
      </c>
      <c r="F1092" s="26"/>
      <c r="G1092" s="26"/>
      <c r="H1092" s="26"/>
      <c r="I1092" s="26"/>
      <c r="J1092" s="27" t="s">
        <v>2056</v>
      </c>
      <c r="K1092" s="27"/>
      <c r="L1092" s="27"/>
      <c r="M1092" s="27"/>
      <c r="N1092" s="28">
        <f>520</f>
        <v>520</v>
      </c>
      <c r="O1092" s="28"/>
      <c r="P1092" s="28"/>
      <c r="Q1092" s="27" t="s">
        <v>2032</v>
      </c>
      <c r="R1092" s="27"/>
      <c r="S1092" s="29" t="s">
        <v>2032</v>
      </c>
      <c r="T1092" s="29"/>
      <c r="U1092" s="29"/>
      <c r="V1092" s="29"/>
      <c r="W1092" s="30" t="s">
        <v>2032</v>
      </c>
      <c r="X1092" s="29" t="s">
        <v>2032</v>
      </c>
      <c r="Y1092" s="29"/>
      <c r="Z1092" s="29"/>
      <c r="AA1092" s="29"/>
      <c r="AB1092" s="27" t="s">
        <v>2056</v>
      </c>
      <c r="AC1092" s="27"/>
      <c r="AD1092" s="27"/>
      <c r="AE1092" s="31">
        <f>520</f>
        <v>520</v>
      </c>
      <c r="AF1092" s="31"/>
      <c r="AG1092" s="31"/>
    </row>
    <row r="1093" spans="1:33" s="1" customFormat="1" ht="18.75" customHeight="1">
      <c r="A1093" s="24" t="s">
        <v>1511</v>
      </c>
      <c r="B1093" s="25" t="s">
        <v>1512</v>
      </c>
      <c r="C1093" s="25"/>
      <c r="D1093" s="25"/>
      <c r="E1093" s="26" t="s">
        <v>1513</v>
      </c>
      <c r="F1093" s="26"/>
      <c r="G1093" s="26"/>
      <c r="H1093" s="26"/>
      <c r="I1093" s="26"/>
      <c r="J1093" s="27" t="s">
        <v>2057</v>
      </c>
      <c r="K1093" s="27"/>
      <c r="L1093" s="27"/>
      <c r="M1093" s="27"/>
      <c r="N1093" s="28">
        <f>640</f>
        <v>640</v>
      </c>
      <c r="O1093" s="28"/>
      <c r="P1093" s="28"/>
      <c r="Q1093" s="27" t="s">
        <v>2032</v>
      </c>
      <c r="R1093" s="27"/>
      <c r="S1093" s="29" t="s">
        <v>2032</v>
      </c>
      <c r="T1093" s="29"/>
      <c r="U1093" s="29"/>
      <c r="V1093" s="29"/>
      <c r="W1093" s="30" t="s">
        <v>2032</v>
      </c>
      <c r="X1093" s="29" t="s">
        <v>2032</v>
      </c>
      <c r="Y1093" s="29"/>
      <c r="Z1093" s="29"/>
      <c r="AA1093" s="29"/>
      <c r="AB1093" s="27" t="s">
        <v>2057</v>
      </c>
      <c r="AC1093" s="27"/>
      <c r="AD1093" s="27"/>
      <c r="AE1093" s="31">
        <f>640</f>
        <v>640</v>
      </c>
      <c r="AF1093" s="31"/>
      <c r="AG1093" s="31"/>
    </row>
    <row r="1094" spans="1:33" s="1" customFormat="1" ht="18.75" customHeight="1">
      <c r="A1094" s="24" t="s">
        <v>1514</v>
      </c>
      <c r="B1094" s="25" t="s">
        <v>1515</v>
      </c>
      <c r="C1094" s="25"/>
      <c r="D1094" s="25"/>
      <c r="E1094" s="26" t="s">
        <v>1516</v>
      </c>
      <c r="F1094" s="26"/>
      <c r="G1094" s="26"/>
      <c r="H1094" s="26"/>
      <c r="I1094" s="26"/>
      <c r="J1094" s="27" t="s">
        <v>2207</v>
      </c>
      <c r="K1094" s="27"/>
      <c r="L1094" s="27"/>
      <c r="M1094" s="27"/>
      <c r="N1094" s="28">
        <f>48760</f>
        <v>48760</v>
      </c>
      <c r="O1094" s="28"/>
      <c r="P1094" s="28"/>
      <c r="Q1094" s="27" t="s">
        <v>2032</v>
      </c>
      <c r="R1094" s="27"/>
      <c r="S1094" s="29" t="s">
        <v>2032</v>
      </c>
      <c r="T1094" s="29"/>
      <c r="U1094" s="29"/>
      <c r="V1094" s="29"/>
      <c r="W1094" s="30" t="s">
        <v>2032</v>
      </c>
      <c r="X1094" s="29" t="s">
        <v>2032</v>
      </c>
      <c r="Y1094" s="29"/>
      <c r="Z1094" s="29"/>
      <c r="AA1094" s="29"/>
      <c r="AB1094" s="27" t="s">
        <v>2207</v>
      </c>
      <c r="AC1094" s="27"/>
      <c r="AD1094" s="27"/>
      <c r="AE1094" s="31">
        <f>48760</f>
        <v>48760</v>
      </c>
      <c r="AF1094" s="31"/>
      <c r="AG1094" s="31"/>
    </row>
    <row r="1095" spans="1:33" s="1" customFormat="1" ht="18.75" customHeight="1">
      <c r="A1095" s="24" t="s">
        <v>1517</v>
      </c>
      <c r="B1095" s="25" t="s">
        <v>1518</v>
      </c>
      <c r="C1095" s="25"/>
      <c r="D1095" s="25"/>
      <c r="E1095" s="26" t="s">
        <v>1519</v>
      </c>
      <c r="F1095" s="26"/>
      <c r="G1095" s="26"/>
      <c r="H1095" s="26"/>
      <c r="I1095" s="26"/>
      <c r="J1095" s="27" t="s">
        <v>2237</v>
      </c>
      <c r="K1095" s="27"/>
      <c r="L1095" s="27"/>
      <c r="M1095" s="27"/>
      <c r="N1095" s="28">
        <f>33800</f>
        <v>33800</v>
      </c>
      <c r="O1095" s="28"/>
      <c r="P1095" s="28"/>
      <c r="Q1095" s="27" t="s">
        <v>2032</v>
      </c>
      <c r="R1095" s="27"/>
      <c r="S1095" s="29" t="s">
        <v>2032</v>
      </c>
      <c r="T1095" s="29"/>
      <c r="U1095" s="29"/>
      <c r="V1095" s="29"/>
      <c r="W1095" s="30" t="s">
        <v>2032</v>
      </c>
      <c r="X1095" s="29" t="s">
        <v>2032</v>
      </c>
      <c r="Y1095" s="29"/>
      <c r="Z1095" s="29"/>
      <c r="AA1095" s="29"/>
      <c r="AB1095" s="27" t="s">
        <v>2237</v>
      </c>
      <c r="AC1095" s="27"/>
      <c r="AD1095" s="27"/>
      <c r="AE1095" s="31">
        <f>33800</f>
        <v>33800</v>
      </c>
      <c r="AF1095" s="31"/>
      <c r="AG1095" s="31"/>
    </row>
    <row r="1096" spans="1:33" s="1" customFormat="1" ht="18.75" customHeight="1">
      <c r="A1096" s="24" t="s">
        <v>1520</v>
      </c>
      <c r="B1096" s="25" t="s">
        <v>1521</v>
      </c>
      <c r="C1096" s="25"/>
      <c r="D1096" s="25"/>
      <c r="E1096" s="26" t="s">
        <v>1522</v>
      </c>
      <c r="F1096" s="26"/>
      <c r="G1096" s="26"/>
      <c r="H1096" s="26"/>
      <c r="I1096" s="26"/>
      <c r="J1096" s="27" t="s">
        <v>2056</v>
      </c>
      <c r="K1096" s="27"/>
      <c r="L1096" s="27"/>
      <c r="M1096" s="27"/>
      <c r="N1096" s="28">
        <f>1765.5</f>
        <v>1765.5</v>
      </c>
      <c r="O1096" s="28"/>
      <c r="P1096" s="28"/>
      <c r="Q1096" s="27" t="s">
        <v>2032</v>
      </c>
      <c r="R1096" s="27"/>
      <c r="S1096" s="29" t="s">
        <v>2032</v>
      </c>
      <c r="T1096" s="29"/>
      <c r="U1096" s="29"/>
      <c r="V1096" s="29"/>
      <c r="W1096" s="30" t="s">
        <v>2032</v>
      </c>
      <c r="X1096" s="29" t="s">
        <v>2032</v>
      </c>
      <c r="Y1096" s="29"/>
      <c r="Z1096" s="29"/>
      <c r="AA1096" s="29"/>
      <c r="AB1096" s="27" t="s">
        <v>2056</v>
      </c>
      <c r="AC1096" s="27"/>
      <c r="AD1096" s="27"/>
      <c r="AE1096" s="31">
        <f>1765.5</f>
        <v>1765.5</v>
      </c>
      <c r="AF1096" s="31"/>
      <c r="AG1096" s="31"/>
    </row>
    <row r="1097" spans="1:33" s="1" customFormat="1" ht="18.75" customHeight="1">
      <c r="A1097" s="24" t="s">
        <v>1523</v>
      </c>
      <c r="B1097" s="25" t="s">
        <v>1524</v>
      </c>
      <c r="C1097" s="25"/>
      <c r="D1097" s="25"/>
      <c r="E1097" s="26" t="s">
        <v>1525</v>
      </c>
      <c r="F1097" s="26"/>
      <c r="G1097" s="26"/>
      <c r="H1097" s="26"/>
      <c r="I1097" s="26"/>
      <c r="J1097" s="27" t="s">
        <v>2099</v>
      </c>
      <c r="K1097" s="27"/>
      <c r="L1097" s="27"/>
      <c r="M1097" s="27"/>
      <c r="N1097" s="28">
        <f>14450</f>
        <v>14450</v>
      </c>
      <c r="O1097" s="28"/>
      <c r="P1097" s="28"/>
      <c r="Q1097" s="27" t="s">
        <v>2032</v>
      </c>
      <c r="R1097" s="27"/>
      <c r="S1097" s="29" t="s">
        <v>2032</v>
      </c>
      <c r="T1097" s="29"/>
      <c r="U1097" s="29"/>
      <c r="V1097" s="29"/>
      <c r="W1097" s="30" t="s">
        <v>2032</v>
      </c>
      <c r="X1097" s="29" t="s">
        <v>2032</v>
      </c>
      <c r="Y1097" s="29"/>
      <c r="Z1097" s="29"/>
      <c r="AA1097" s="29"/>
      <c r="AB1097" s="27" t="s">
        <v>2099</v>
      </c>
      <c r="AC1097" s="27"/>
      <c r="AD1097" s="27"/>
      <c r="AE1097" s="31">
        <f>14450</f>
        <v>14450</v>
      </c>
      <c r="AF1097" s="31"/>
      <c r="AG1097" s="31"/>
    </row>
    <row r="1098" spans="1:33" s="1" customFormat="1" ht="18.75" customHeight="1">
      <c r="A1098" s="24" t="s">
        <v>1526</v>
      </c>
      <c r="B1098" s="25" t="s">
        <v>1527</v>
      </c>
      <c r="C1098" s="25"/>
      <c r="D1098" s="25"/>
      <c r="E1098" s="26" t="s">
        <v>1528</v>
      </c>
      <c r="F1098" s="26"/>
      <c r="G1098" s="26"/>
      <c r="H1098" s="26"/>
      <c r="I1098" s="26"/>
      <c r="J1098" s="27" t="s">
        <v>2057</v>
      </c>
      <c r="K1098" s="27"/>
      <c r="L1098" s="27"/>
      <c r="M1098" s="27"/>
      <c r="N1098" s="28">
        <f>1138.82</f>
        <v>1138.82</v>
      </c>
      <c r="O1098" s="28"/>
      <c r="P1098" s="28"/>
      <c r="Q1098" s="27" t="s">
        <v>2032</v>
      </c>
      <c r="R1098" s="27"/>
      <c r="S1098" s="29" t="s">
        <v>2032</v>
      </c>
      <c r="T1098" s="29"/>
      <c r="U1098" s="29"/>
      <c r="V1098" s="29"/>
      <c r="W1098" s="30" t="s">
        <v>2032</v>
      </c>
      <c r="X1098" s="29" t="s">
        <v>2032</v>
      </c>
      <c r="Y1098" s="29"/>
      <c r="Z1098" s="29"/>
      <c r="AA1098" s="29"/>
      <c r="AB1098" s="27" t="s">
        <v>2057</v>
      </c>
      <c r="AC1098" s="27"/>
      <c r="AD1098" s="27"/>
      <c r="AE1098" s="31">
        <f>1138.82</f>
        <v>1138.82</v>
      </c>
      <c r="AF1098" s="31"/>
      <c r="AG1098" s="31"/>
    </row>
    <row r="1099" spans="1:33" s="1" customFormat="1" ht="33" customHeight="1">
      <c r="A1099" s="24" t="s">
        <v>1529</v>
      </c>
      <c r="B1099" s="25" t="s">
        <v>1530</v>
      </c>
      <c r="C1099" s="25"/>
      <c r="D1099" s="25"/>
      <c r="E1099" s="26" t="s">
        <v>1531</v>
      </c>
      <c r="F1099" s="26"/>
      <c r="G1099" s="26"/>
      <c r="H1099" s="26"/>
      <c r="I1099" s="26"/>
      <c r="J1099" s="27" t="s">
        <v>2138</v>
      </c>
      <c r="K1099" s="27"/>
      <c r="L1099" s="27"/>
      <c r="M1099" s="27"/>
      <c r="N1099" s="28">
        <f>18000</f>
        <v>18000</v>
      </c>
      <c r="O1099" s="28"/>
      <c r="P1099" s="28"/>
      <c r="Q1099" s="27" t="s">
        <v>2032</v>
      </c>
      <c r="R1099" s="27"/>
      <c r="S1099" s="29" t="s">
        <v>2032</v>
      </c>
      <c r="T1099" s="29"/>
      <c r="U1099" s="29"/>
      <c r="V1099" s="29"/>
      <c r="W1099" s="30" t="s">
        <v>2032</v>
      </c>
      <c r="X1099" s="29" t="s">
        <v>2032</v>
      </c>
      <c r="Y1099" s="29"/>
      <c r="Z1099" s="29"/>
      <c r="AA1099" s="29"/>
      <c r="AB1099" s="27" t="s">
        <v>2138</v>
      </c>
      <c r="AC1099" s="27"/>
      <c r="AD1099" s="27"/>
      <c r="AE1099" s="31">
        <f>18000</f>
        <v>18000</v>
      </c>
      <c r="AF1099" s="31"/>
      <c r="AG1099" s="31"/>
    </row>
    <row r="1100" spans="1:33" s="1" customFormat="1" ht="18.75" customHeight="1">
      <c r="A1100" s="24" t="s">
        <v>1532</v>
      </c>
      <c r="B1100" s="25" t="s">
        <v>745</v>
      </c>
      <c r="C1100" s="25"/>
      <c r="D1100" s="25"/>
      <c r="E1100" s="26" t="s">
        <v>1533</v>
      </c>
      <c r="F1100" s="26"/>
      <c r="G1100" s="26"/>
      <c r="H1100" s="26"/>
      <c r="I1100" s="26"/>
      <c r="J1100" s="27" t="s">
        <v>2056</v>
      </c>
      <c r="K1100" s="27"/>
      <c r="L1100" s="27"/>
      <c r="M1100" s="27"/>
      <c r="N1100" s="28">
        <f>400</f>
        <v>400</v>
      </c>
      <c r="O1100" s="28"/>
      <c r="P1100" s="28"/>
      <c r="Q1100" s="27" t="s">
        <v>2032</v>
      </c>
      <c r="R1100" s="27"/>
      <c r="S1100" s="29" t="s">
        <v>2032</v>
      </c>
      <c r="T1100" s="29"/>
      <c r="U1100" s="29"/>
      <c r="V1100" s="29"/>
      <c r="W1100" s="30" t="s">
        <v>2032</v>
      </c>
      <c r="X1100" s="29" t="s">
        <v>2032</v>
      </c>
      <c r="Y1100" s="29"/>
      <c r="Z1100" s="29"/>
      <c r="AA1100" s="29"/>
      <c r="AB1100" s="27" t="s">
        <v>2056</v>
      </c>
      <c r="AC1100" s="27"/>
      <c r="AD1100" s="27"/>
      <c r="AE1100" s="31">
        <f>400</f>
        <v>400</v>
      </c>
      <c r="AF1100" s="31"/>
      <c r="AG1100" s="31"/>
    </row>
    <row r="1101" spans="1:33" s="1" customFormat="1" ht="18.75" customHeight="1">
      <c r="A1101" s="24" t="s">
        <v>1534</v>
      </c>
      <c r="B1101" s="25" t="s">
        <v>1535</v>
      </c>
      <c r="C1101" s="25"/>
      <c r="D1101" s="25"/>
      <c r="E1101" s="26" t="s">
        <v>1536</v>
      </c>
      <c r="F1101" s="26"/>
      <c r="G1101" s="26"/>
      <c r="H1101" s="26"/>
      <c r="I1101" s="26"/>
      <c r="J1101" s="27" t="s">
        <v>2108</v>
      </c>
      <c r="K1101" s="27"/>
      <c r="L1101" s="27"/>
      <c r="M1101" s="27"/>
      <c r="N1101" s="28">
        <f>10500</f>
        <v>10500</v>
      </c>
      <c r="O1101" s="28"/>
      <c r="P1101" s="28"/>
      <c r="Q1101" s="27" t="s">
        <v>2032</v>
      </c>
      <c r="R1101" s="27"/>
      <c r="S1101" s="29" t="s">
        <v>2032</v>
      </c>
      <c r="T1101" s="29"/>
      <c r="U1101" s="29"/>
      <c r="V1101" s="29"/>
      <c r="W1101" s="30" t="s">
        <v>2032</v>
      </c>
      <c r="X1101" s="29" t="s">
        <v>2032</v>
      </c>
      <c r="Y1101" s="29"/>
      <c r="Z1101" s="29"/>
      <c r="AA1101" s="29"/>
      <c r="AB1101" s="27" t="s">
        <v>2108</v>
      </c>
      <c r="AC1101" s="27"/>
      <c r="AD1101" s="27"/>
      <c r="AE1101" s="31">
        <f>10500</f>
        <v>10500</v>
      </c>
      <c r="AF1101" s="31"/>
      <c r="AG1101" s="31"/>
    </row>
    <row r="1102" spans="1:33" s="1" customFormat="1" ht="18.75" customHeight="1">
      <c r="A1102" s="24" t="s">
        <v>1537</v>
      </c>
      <c r="B1102" s="25" t="s">
        <v>1538</v>
      </c>
      <c r="C1102" s="25"/>
      <c r="D1102" s="25"/>
      <c r="E1102" s="26" t="s">
        <v>1539</v>
      </c>
      <c r="F1102" s="26"/>
      <c r="G1102" s="26"/>
      <c r="H1102" s="26"/>
      <c r="I1102" s="26"/>
      <c r="J1102" s="27" t="s">
        <v>2085</v>
      </c>
      <c r="K1102" s="27"/>
      <c r="L1102" s="27"/>
      <c r="M1102" s="27"/>
      <c r="N1102" s="28">
        <f>4980</f>
        <v>4980</v>
      </c>
      <c r="O1102" s="28"/>
      <c r="P1102" s="28"/>
      <c r="Q1102" s="27" t="s">
        <v>2032</v>
      </c>
      <c r="R1102" s="27"/>
      <c r="S1102" s="29" t="s">
        <v>2032</v>
      </c>
      <c r="T1102" s="29"/>
      <c r="U1102" s="29"/>
      <c r="V1102" s="29"/>
      <c r="W1102" s="30" t="s">
        <v>2032</v>
      </c>
      <c r="X1102" s="29" t="s">
        <v>2032</v>
      </c>
      <c r="Y1102" s="29"/>
      <c r="Z1102" s="29"/>
      <c r="AA1102" s="29"/>
      <c r="AB1102" s="27" t="s">
        <v>2085</v>
      </c>
      <c r="AC1102" s="27"/>
      <c r="AD1102" s="27"/>
      <c r="AE1102" s="31">
        <f>4980</f>
        <v>4980</v>
      </c>
      <c r="AF1102" s="31"/>
      <c r="AG1102" s="31"/>
    </row>
    <row r="1103" spans="1:33" s="1" customFormat="1" ht="33" customHeight="1">
      <c r="A1103" s="24" t="s">
        <v>1540</v>
      </c>
      <c r="B1103" s="25" t="s">
        <v>1541</v>
      </c>
      <c r="C1103" s="25"/>
      <c r="D1103" s="25"/>
      <c r="E1103" s="26" t="s">
        <v>1542</v>
      </c>
      <c r="F1103" s="26"/>
      <c r="G1103" s="26"/>
      <c r="H1103" s="26"/>
      <c r="I1103" s="26"/>
      <c r="J1103" s="27" t="s">
        <v>2102</v>
      </c>
      <c r="K1103" s="27"/>
      <c r="L1103" s="27"/>
      <c r="M1103" s="27"/>
      <c r="N1103" s="28">
        <f>22500</f>
        <v>22500</v>
      </c>
      <c r="O1103" s="28"/>
      <c r="P1103" s="28"/>
      <c r="Q1103" s="27" t="s">
        <v>2032</v>
      </c>
      <c r="R1103" s="27"/>
      <c r="S1103" s="29" t="s">
        <v>2032</v>
      </c>
      <c r="T1103" s="29"/>
      <c r="U1103" s="29"/>
      <c r="V1103" s="29"/>
      <c r="W1103" s="30" t="s">
        <v>2032</v>
      </c>
      <c r="X1103" s="29" t="s">
        <v>2032</v>
      </c>
      <c r="Y1103" s="29"/>
      <c r="Z1103" s="29"/>
      <c r="AA1103" s="29"/>
      <c r="AB1103" s="27" t="s">
        <v>2102</v>
      </c>
      <c r="AC1103" s="27"/>
      <c r="AD1103" s="27"/>
      <c r="AE1103" s="31">
        <f>22500</f>
        <v>22500</v>
      </c>
      <c r="AF1103" s="31"/>
      <c r="AG1103" s="31"/>
    </row>
    <row r="1104" spans="1:33" s="1" customFormat="1" ht="33" customHeight="1">
      <c r="A1104" s="24" t="s">
        <v>1543</v>
      </c>
      <c r="B1104" s="25" t="s">
        <v>1544</v>
      </c>
      <c r="C1104" s="25"/>
      <c r="D1104" s="25"/>
      <c r="E1104" s="26" t="s">
        <v>1545</v>
      </c>
      <c r="F1104" s="26"/>
      <c r="G1104" s="26"/>
      <c r="H1104" s="26"/>
      <c r="I1104" s="26"/>
      <c r="J1104" s="27" t="s">
        <v>2056</v>
      </c>
      <c r="K1104" s="27"/>
      <c r="L1104" s="27"/>
      <c r="M1104" s="27"/>
      <c r="N1104" s="28">
        <f>1600</f>
        <v>1600</v>
      </c>
      <c r="O1104" s="28"/>
      <c r="P1104" s="28"/>
      <c r="Q1104" s="27" t="s">
        <v>2032</v>
      </c>
      <c r="R1104" s="27"/>
      <c r="S1104" s="29" t="s">
        <v>2032</v>
      </c>
      <c r="T1104" s="29"/>
      <c r="U1104" s="29"/>
      <c r="V1104" s="29"/>
      <c r="W1104" s="30" t="s">
        <v>2032</v>
      </c>
      <c r="X1104" s="29" t="s">
        <v>2032</v>
      </c>
      <c r="Y1104" s="29"/>
      <c r="Z1104" s="29"/>
      <c r="AA1104" s="29"/>
      <c r="AB1104" s="27" t="s">
        <v>2056</v>
      </c>
      <c r="AC1104" s="27"/>
      <c r="AD1104" s="27"/>
      <c r="AE1104" s="31">
        <f>1600</f>
        <v>1600</v>
      </c>
      <c r="AF1104" s="31"/>
      <c r="AG1104" s="31"/>
    </row>
    <row r="1105" spans="1:33" s="1" customFormat="1" ht="33" customHeight="1">
      <c r="A1105" s="24" t="s">
        <v>1546</v>
      </c>
      <c r="B1105" s="25" t="s">
        <v>1547</v>
      </c>
      <c r="C1105" s="25"/>
      <c r="D1105" s="25"/>
      <c r="E1105" s="26" t="s">
        <v>1548</v>
      </c>
      <c r="F1105" s="26"/>
      <c r="G1105" s="26"/>
      <c r="H1105" s="26"/>
      <c r="I1105" s="26"/>
      <c r="J1105" s="27" t="s">
        <v>2085</v>
      </c>
      <c r="K1105" s="27"/>
      <c r="L1105" s="27"/>
      <c r="M1105" s="27"/>
      <c r="N1105" s="28">
        <f>5880</f>
        <v>5880</v>
      </c>
      <c r="O1105" s="28"/>
      <c r="P1105" s="28"/>
      <c r="Q1105" s="27" t="s">
        <v>2032</v>
      </c>
      <c r="R1105" s="27"/>
      <c r="S1105" s="29" t="s">
        <v>2032</v>
      </c>
      <c r="T1105" s="29"/>
      <c r="U1105" s="29"/>
      <c r="V1105" s="29"/>
      <c r="W1105" s="30" t="s">
        <v>2032</v>
      </c>
      <c r="X1105" s="29" t="s">
        <v>2032</v>
      </c>
      <c r="Y1105" s="29"/>
      <c r="Z1105" s="29"/>
      <c r="AA1105" s="29"/>
      <c r="AB1105" s="27" t="s">
        <v>2085</v>
      </c>
      <c r="AC1105" s="27"/>
      <c r="AD1105" s="27"/>
      <c r="AE1105" s="31">
        <f>5880</f>
        <v>5880</v>
      </c>
      <c r="AF1105" s="31"/>
      <c r="AG1105" s="31"/>
    </row>
    <row r="1106" spans="1:33" s="1" customFormat="1" ht="18.75" customHeight="1">
      <c r="A1106" s="24" t="s">
        <v>1549</v>
      </c>
      <c r="B1106" s="25" t="s">
        <v>1550</v>
      </c>
      <c r="C1106" s="25"/>
      <c r="D1106" s="25"/>
      <c r="E1106" s="26" t="s">
        <v>1551</v>
      </c>
      <c r="F1106" s="26"/>
      <c r="G1106" s="26"/>
      <c r="H1106" s="26"/>
      <c r="I1106" s="26"/>
      <c r="J1106" s="27" t="s">
        <v>2204</v>
      </c>
      <c r="K1106" s="27"/>
      <c r="L1106" s="27"/>
      <c r="M1106" s="27"/>
      <c r="N1106" s="28">
        <f>26145</f>
        <v>26145</v>
      </c>
      <c r="O1106" s="28"/>
      <c r="P1106" s="28"/>
      <c r="Q1106" s="27" t="s">
        <v>2032</v>
      </c>
      <c r="R1106" s="27"/>
      <c r="S1106" s="29" t="s">
        <v>2032</v>
      </c>
      <c r="T1106" s="29"/>
      <c r="U1106" s="29"/>
      <c r="V1106" s="29"/>
      <c r="W1106" s="30" t="s">
        <v>2032</v>
      </c>
      <c r="X1106" s="29" t="s">
        <v>2032</v>
      </c>
      <c r="Y1106" s="29"/>
      <c r="Z1106" s="29"/>
      <c r="AA1106" s="29"/>
      <c r="AB1106" s="27" t="s">
        <v>2204</v>
      </c>
      <c r="AC1106" s="27"/>
      <c r="AD1106" s="27"/>
      <c r="AE1106" s="31">
        <f>26145</f>
        <v>26145</v>
      </c>
      <c r="AF1106" s="31"/>
      <c r="AG1106" s="31"/>
    </row>
    <row r="1107" spans="1:33" s="1" customFormat="1" ht="18.75" customHeight="1">
      <c r="A1107" s="24" t="s">
        <v>1552</v>
      </c>
      <c r="B1107" s="25" t="s">
        <v>1553</v>
      </c>
      <c r="C1107" s="25"/>
      <c r="D1107" s="25"/>
      <c r="E1107" s="26" t="s">
        <v>1554</v>
      </c>
      <c r="F1107" s="26"/>
      <c r="G1107" s="26"/>
      <c r="H1107" s="26"/>
      <c r="I1107" s="26"/>
      <c r="J1107" s="27" t="s">
        <v>2198</v>
      </c>
      <c r="K1107" s="27"/>
      <c r="L1107" s="27"/>
      <c r="M1107" s="27"/>
      <c r="N1107" s="28">
        <f>21000</f>
        <v>21000</v>
      </c>
      <c r="O1107" s="28"/>
      <c r="P1107" s="28"/>
      <c r="Q1107" s="27" t="s">
        <v>2032</v>
      </c>
      <c r="R1107" s="27"/>
      <c r="S1107" s="29" t="s">
        <v>2032</v>
      </c>
      <c r="T1107" s="29"/>
      <c r="U1107" s="29"/>
      <c r="V1107" s="29"/>
      <c r="W1107" s="30" t="s">
        <v>2032</v>
      </c>
      <c r="X1107" s="29" t="s">
        <v>2032</v>
      </c>
      <c r="Y1107" s="29"/>
      <c r="Z1107" s="29"/>
      <c r="AA1107" s="29"/>
      <c r="AB1107" s="27" t="s">
        <v>2198</v>
      </c>
      <c r="AC1107" s="27"/>
      <c r="AD1107" s="27"/>
      <c r="AE1107" s="31">
        <f>21000</f>
        <v>21000</v>
      </c>
      <c r="AF1107" s="31"/>
      <c r="AG1107" s="31"/>
    </row>
    <row r="1108" spans="1:33" s="1" customFormat="1" ht="18.75" customHeight="1">
      <c r="A1108" s="24" t="s">
        <v>1555</v>
      </c>
      <c r="B1108" s="25" t="s">
        <v>1556</v>
      </c>
      <c r="C1108" s="25"/>
      <c r="D1108" s="25"/>
      <c r="E1108" s="26" t="s">
        <v>1557</v>
      </c>
      <c r="F1108" s="26"/>
      <c r="G1108" s="26"/>
      <c r="H1108" s="26"/>
      <c r="I1108" s="26"/>
      <c r="J1108" s="27" t="s">
        <v>2060</v>
      </c>
      <c r="K1108" s="27"/>
      <c r="L1108" s="27"/>
      <c r="M1108" s="27"/>
      <c r="N1108" s="28">
        <f>7399.78</f>
        <v>7399.78</v>
      </c>
      <c r="O1108" s="28"/>
      <c r="P1108" s="28"/>
      <c r="Q1108" s="27" t="s">
        <v>2032</v>
      </c>
      <c r="R1108" s="27"/>
      <c r="S1108" s="29" t="s">
        <v>2032</v>
      </c>
      <c r="T1108" s="29"/>
      <c r="U1108" s="29"/>
      <c r="V1108" s="29"/>
      <c r="W1108" s="30" t="s">
        <v>2032</v>
      </c>
      <c r="X1108" s="29" t="s">
        <v>2032</v>
      </c>
      <c r="Y1108" s="29"/>
      <c r="Z1108" s="29"/>
      <c r="AA1108" s="29"/>
      <c r="AB1108" s="27" t="s">
        <v>2060</v>
      </c>
      <c r="AC1108" s="27"/>
      <c r="AD1108" s="27"/>
      <c r="AE1108" s="31">
        <f>7399.78</f>
        <v>7399.78</v>
      </c>
      <c r="AF1108" s="31"/>
      <c r="AG1108" s="31"/>
    </row>
    <row r="1109" spans="1:33" s="1" customFormat="1" ht="18.75" customHeight="1">
      <c r="A1109" s="24" t="s">
        <v>1558</v>
      </c>
      <c r="B1109" s="25" t="s">
        <v>1559</v>
      </c>
      <c r="C1109" s="25"/>
      <c r="D1109" s="25"/>
      <c r="E1109" s="26" t="s">
        <v>1560</v>
      </c>
      <c r="F1109" s="26"/>
      <c r="G1109" s="26"/>
      <c r="H1109" s="26"/>
      <c r="I1109" s="26"/>
      <c r="J1109" s="27" t="s">
        <v>2300</v>
      </c>
      <c r="K1109" s="27"/>
      <c r="L1109" s="27"/>
      <c r="M1109" s="27"/>
      <c r="N1109" s="28">
        <f>33283.5</f>
        <v>33283.5</v>
      </c>
      <c r="O1109" s="28"/>
      <c r="P1109" s="28"/>
      <c r="Q1109" s="27" t="s">
        <v>2032</v>
      </c>
      <c r="R1109" s="27"/>
      <c r="S1109" s="29" t="s">
        <v>2032</v>
      </c>
      <c r="T1109" s="29"/>
      <c r="U1109" s="29"/>
      <c r="V1109" s="29"/>
      <c r="W1109" s="30" t="s">
        <v>2032</v>
      </c>
      <c r="X1109" s="29" t="s">
        <v>2032</v>
      </c>
      <c r="Y1109" s="29"/>
      <c r="Z1109" s="29"/>
      <c r="AA1109" s="29"/>
      <c r="AB1109" s="27" t="s">
        <v>2300</v>
      </c>
      <c r="AC1109" s="27"/>
      <c r="AD1109" s="27"/>
      <c r="AE1109" s="31">
        <f>33283.5</f>
        <v>33283.5</v>
      </c>
      <c r="AF1109" s="31"/>
      <c r="AG1109" s="31"/>
    </row>
    <row r="1110" spans="1:33" s="1" customFormat="1" ht="18.75" customHeight="1">
      <c r="A1110" s="24" t="s">
        <v>1561</v>
      </c>
      <c r="B1110" s="25" t="s">
        <v>1562</v>
      </c>
      <c r="C1110" s="25"/>
      <c r="D1110" s="25"/>
      <c r="E1110" s="26" t="s">
        <v>1563</v>
      </c>
      <c r="F1110" s="26"/>
      <c r="G1110" s="26"/>
      <c r="H1110" s="26"/>
      <c r="I1110" s="26"/>
      <c r="J1110" s="27" t="s">
        <v>2056</v>
      </c>
      <c r="K1110" s="27"/>
      <c r="L1110" s="27"/>
      <c r="M1110" s="27"/>
      <c r="N1110" s="28">
        <f>480.01</f>
        <v>480.01</v>
      </c>
      <c r="O1110" s="28"/>
      <c r="P1110" s="28"/>
      <c r="Q1110" s="27" t="s">
        <v>2032</v>
      </c>
      <c r="R1110" s="27"/>
      <c r="S1110" s="29" t="s">
        <v>2032</v>
      </c>
      <c r="T1110" s="29"/>
      <c r="U1110" s="29"/>
      <c r="V1110" s="29"/>
      <c r="W1110" s="30" t="s">
        <v>2032</v>
      </c>
      <c r="X1110" s="29" t="s">
        <v>2032</v>
      </c>
      <c r="Y1110" s="29"/>
      <c r="Z1110" s="29"/>
      <c r="AA1110" s="29"/>
      <c r="AB1110" s="27" t="s">
        <v>2056</v>
      </c>
      <c r="AC1110" s="27"/>
      <c r="AD1110" s="27"/>
      <c r="AE1110" s="31">
        <f>480.01</f>
        <v>480.01</v>
      </c>
      <c r="AF1110" s="31"/>
      <c r="AG1110" s="31"/>
    </row>
    <row r="1111" spans="1:33" s="1" customFormat="1" ht="18.75" customHeight="1">
      <c r="A1111" s="24" t="s">
        <v>1564</v>
      </c>
      <c r="B1111" s="25" t="s">
        <v>1565</v>
      </c>
      <c r="C1111" s="25"/>
      <c r="D1111" s="25"/>
      <c r="E1111" s="26" t="s">
        <v>1566</v>
      </c>
      <c r="F1111" s="26"/>
      <c r="G1111" s="26"/>
      <c r="H1111" s="26"/>
      <c r="I1111" s="26"/>
      <c r="J1111" s="27" t="s">
        <v>2117</v>
      </c>
      <c r="K1111" s="27"/>
      <c r="L1111" s="27"/>
      <c r="M1111" s="27"/>
      <c r="N1111" s="28">
        <f>8740</f>
        <v>8740</v>
      </c>
      <c r="O1111" s="28"/>
      <c r="P1111" s="28"/>
      <c r="Q1111" s="27" t="s">
        <v>2032</v>
      </c>
      <c r="R1111" s="27"/>
      <c r="S1111" s="29" t="s">
        <v>2032</v>
      </c>
      <c r="T1111" s="29"/>
      <c r="U1111" s="29"/>
      <c r="V1111" s="29"/>
      <c r="W1111" s="30" t="s">
        <v>2032</v>
      </c>
      <c r="X1111" s="29" t="s">
        <v>2032</v>
      </c>
      <c r="Y1111" s="29"/>
      <c r="Z1111" s="29"/>
      <c r="AA1111" s="29"/>
      <c r="AB1111" s="27" t="s">
        <v>2117</v>
      </c>
      <c r="AC1111" s="27"/>
      <c r="AD1111" s="27"/>
      <c r="AE1111" s="31">
        <f>8740</f>
        <v>8740</v>
      </c>
      <c r="AF1111" s="31"/>
      <c r="AG1111" s="31"/>
    </row>
    <row r="1112" spans="1:33" s="1" customFormat="1" ht="18.75" customHeight="1">
      <c r="A1112" s="24" t="s">
        <v>1567</v>
      </c>
      <c r="B1112" s="25" t="s">
        <v>1568</v>
      </c>
      <c r="C1112" s="25"/>
      <c r="D1112" s="25"/>
      <c r="E1112" s="26" t="s">
        <v>1569</v>
      </c>
      <c r="F1112" s="26"/>
      <c r="G1112" s="26"/>
      <c r="H1112" s="26"/>
      <c r="I1112" s="26"/>
      <c r="J1112" s="27" t="s">
        <v>2093</v>
      </c>
      <c r="K1112" s="27"/>
      <c r="L1112" s="27"/>
      <c r="M1112" s="27"/>
      <c r="N1112" s="28">
        <f>3750</f>
        <v>3750</v>
      </c>
      <c r="O1112" s="28"/>
      <c r="P1112" s="28"/>
      <c r="Q1112" s="27" t="s">
        <v>2032</v>
      </c>
      <c r="R1112" s="27"/>
      <c r="S1112" s="29" t="s">
        <v>2032</v>
      </c>
      <c r="T1112" s="29"/>
      <c r="U1112" s="29"/>
      <c r="V1112" s="29"/>
      <c r="W1112" s="30" t="s">
        <v>2032</v>
      </c>
      <c r="X1112" s="29" t="s">
        <v>2032</v>
      </c>
      <c r="Y1112" s="29"/>
      <c r="Z1112" s="29"/>
      <c r="AA1112" s="29"/>
      <c r="AB1112" s="27" t="s">
        <v>2093</v>
      </c>
      <c r="AC1112" s="27"/>
      <c r="AD1112" s="27"/>
      <c r="AE1112" s="31">
        <f>3750</f>
        <v>3750</v>
      </c>
      <c r="AF1112" s="31"/>
      <c r="AG1112" s="31"/>
    </row>
    <row r="1113" spans="1:33" s="1" customFormat="1" ht="46.5" customHeight="1">
      <c r="A1113" s="24" t="s">
        <v>1570</v>
      </c>
      <c r="B1113" s="25" t="s">
        <v>1571</v>
      </c>
      <c r="C1113" s="25"/>
      <c r="D1113" s="25"/>
      <c r="E1113" s="26" t="s">
        <v>1572</v>
      </c>
      <c r="F1113" s="26"/>
      <c r="G1113" s="26"/>
      <c r="H1113" s="26"/>
      <c r="I1113" s="26"/>
      <c r="J1113" s="27" t="s">
        <v>2297</v>
      </c>
      <c r="K1113" s="27"/>
      <c r="L1113" s="27"/>
      <c r="M1113" s="27"/>
      <c r="N1113" s="28">
        <f>38700</f>
        <v>38700</v>
      </c>
      <c r="O1113" s="28"/>
      <c r="P1113" s="28"/>
      <c r="Q1113" s="27" t="s">
        <v>2032</v>
      </c>
      <c r="R1113" s="27"/>
      <c r="S1113" s="29" t="s">
        <v>2032</v>
      </c>
      <c r="T1113" s="29"/>
      <c r="U1113" s="29"/>
      <c r="V1113" s="29"/>
      <c r="W1113" s="30" t="s">
        <v>2032</v>
      </c>
      <c r="X1113" s="29" t="s">
        <v>2032</v>
      </c>
      <c r="Y1113" s="29"/>
      <c r="Z1113" s="29"/>
      <c r="AA1113" s="29"/>
      <c r="AB1113" s="27" t="s">
        <v>2297</v>
      </c>
      <c r="AC1113" s="27"/>
      <c r="AD1113" s="27"/>
      <c r="AE1113" s="31">
        <f>38700</f>
        <v>38700</v>
      </c>
      <c r="AF1113" s="31"/>
      <c r="AG1113" s="31"/>
    </row>
    <row r="1114" spans="1:33" s="1" customFormat="1" ht="33" customHeight="1">
      <c r="A1114" s="24" t="s">
        <v>1573</v>
      </c>
      <c r="B1114" s="25" t="s">
        <v>1574</v>
      </c>
      <c r="C1114" s="25"/>
      <c r="D1114" s="25"/>
      <c r="E1114" s="26" t="s">
        <v>1575</v>
      </c>
      <c r="F1114" s="26"/>
      <c r="G1114" s="26"/>
      <c r="H1114" s="26"/>
      <c r="I1114" s="26"/>
      <c r="J1114" s="27" t="s">
        <v>2216</v>
      </c>
      <c r="K1114" s="27"/>
      <c r="L1114" s="27"/>
      <c r="M1114" s="27"/>
      <c r="N1114" s="28">
        <f>54880</f>
        <v>54880</v>
      </c>
      <c r="O1114" s="28"/>
      <c r="P1114" s="28"/>
      <c r="Q1114" s="27" t="s">
        <v>2032</v>
      </c>
      <c r="R1114" s="27"/>
      <c r="S1114" s="29" t="s">
        <v>2032</v>
      </c>
      <c r="T1114" s="29"/>
      <c r="U1114" s="29"/>
      <c r="V1114" s="29"/>
      <c r="W1114" s="30" t="s">
        <v>2032</v>
      </c>
      <c r="X1114" s="29" t="s">
        <v>2032</v>
      </c>
      <c r="Y1114" s="29"/>
      <c r="Z1114" s="29"/>
      <c r="AA1114" s="29"/>
      <c r="AB1114" s="27" t="s">
        <v>2216</v>
      </c>
      <c r="AC1114" s="27"/>
      <c r="AD1114" s="27"/>
      <c r="AE1114" s="31">
        <f>54880</f>
        <v>54880</v>
      </c>
      <c r="AF1114" s="31"/>
      <c r="AG1114" s="31"/>
    </row>
    <row r="1115" spans="1:33" s="1" customFormat="1" ht="33" customHeight="1">
      <c r="A1115" s="24" t="s">
        <v>1576</v>
      </c>
      <c r="B1115" s="25" t="s">
        <v>1577</v>
      </c>
      <c r="C1115" s="25"/>
      <c r="D1115" s="25"/>
      <c r="E1115" s="26" t="s">
        <v>1578</v>
      </c>
      <c r="F1115" s="26"/>
      <c r="G1115" s="26"/>
      <c r="H1115" s="26"/>
      <c r="I1115" s="26"/>
      <c r="J1115" s="27" t="s">
        <v>2138</v>
      </c>
      <c r="K1115" s="27"/>
      <c r="L1115" s="27"/>
      <c r="M1115" s="27"/>
      <c r="N1115" s="28">
        <f>19710</f>
        <v>19710</v>
      </c>
      <c r="O1115" s="28"/>
      <c r="P1115" s="28"/>
      <c r="Q1115" s="27" t="s">
        <v>2032</v>
      </c>
      <c r="R1115" s="27"/>
      <c r="S1115" s="29" t="s">
        <v>2032</v>
      </c>
      <c r="T1115" s="29"/>
      <c r="U1115" s="29"/>
      <c r="V1115" s="29"/>
      <c r="W1115" s="30" t="s">
        <v>2032</v>
      </c>
      <c r="X1115" s="29" t="s">
        <v>2032</v>
      </c>
      <c r="Y1115" s="29"/>
      <c r="Z1115" s="29"/>
      <c r="AA1115" s="29"/>
      <c r="AB1115" s="27" t="s">
        <v>2138</v>
      </c>
      <c r="AC1115" s="27"/>
      <c r="AD1115" s="27"/>
      <c r="AE1115" s="31">
        <f>19710</f>
        <v>19710</v>
      </c>
      <c r="AF1115" s="31"/>
      <c r="AG1115" s="31"/>
    </row>
    <row r="1116" spans="1:33" s="1" customFormat="1" ht="46.5" customHeight="1">
      <c r="A1116" s="24" t="s">
        <v>1579</v>
      </c>
      <c r="B1116" s="25" t="s">
        <v>1580</v>
      </c>
      <c r="C1116" s="25"/>
      <c r="D1116" s="25"/>
      <c r="E1116" s="26" t="s">
        <v>1581</v>
      </c>
      <c r="F1116" s="26"/>
      <c r="G1116" s="26"/>
      <c r="H1116" s="26"/>
      <c r="I1116" s="26"/>
      <c r="J1116" s="27" t="s">
        <v>2085</v>
      </c>
      <c r="K1116" s="27"/>
      <c r="L1116" s="27"/>
      <c r="M1116" s="27"/>
      <c r="N1116" s="28">
        <f>8508</f>
        <v>8508</v>
      </c>
      <c r="O1116" s="28"/>
      <c r="P1116" s="28"/>
      <c r="Q1116" s="27" t="s">
        <v>2032</v>
      </c>
      <c r="R1116" s="27"/>
      <c r="S1116" s="29" t="s">
        <v>2032</v>
      </c>
      <c r="T1116" s="29"/>
      <c r="U1116" s="29"/>
      <c r="V1116" s="29"/>
      <c r="W1116" s="30" t="s">
        <v>2032</v>
      </c>
      <c r="X1116" s="29" t="s">
        <v>2032</v>
      </c>
      <c r="Y1116" s="29"/>
      <c r="Z1116" s="29"/>
      <c r="AA1116" s="29"/>
      <c r="AB1116" s="27" t="s">
        <v>2085</v>
      </c>
      <c r="AC1116" s="27"/>
      <c r="AD1116" s="27"/>
      <c r="AE1116" s="31">
        <f>8508</f>
        <v>8508</v>
      </c>
      <c r="AF1116" s="31"/>
      <c r="AG1116" s="31"/>
    </row>
    <row r="1117" spans="1:33" s="1" customFormat="1" ht="33" customHeight="1">
      <c r="A1117" s="24" t="s">
        <v>1582</v>
      </c>
      <c r="B1117" s="25" t="s">
        <v>1583</v>
      </c>
      <c r="C1117" s="25"/>
      <c r="D1117" s="25"/>
      <c r="E1117" s="26" t="s">
        <v>1584</v>
      </c>
      <c r="F1117" s="26"/>
      <c r="G1117" s="26"/>
      <c r="H1117" s="26"/>
      <c r="I1117" s="26"/>
      <c r="J1117" s="27" t="s">
        <v>2138</v>
      </c>
      <c r="K1117" s="27"/>
      <c r="L1117" s="27"/>
      <c r="M1117" s="27"/>
      <c r="N1117" s="28">
        <f>19710</f>
        <v>19710</v>
      </c>
      <c r="O1117" s="28"/>
      <c r="P1117" s="28"/>
      <c r="Q1117" s="27" t="s">
        <v>2032</v>
      </c>
      <c r="R1117" s="27"/>
      <c r="S1117" s="29" t="s">
        <v>2032</v>
      </c>
      <c r="T1117" s="29"/>
      <c r="U1117" s="29"/>
      <c r="V1117" s="29"/>
      <c r="W1117" s="30" t="s">
        <v>2032</v>
      </c>
      <c r="X1117" s="29" t="s">
        <v>2032</v>
      </c>
      <c r="Y1117" s="29"/>
      <c r="Z1117" s="29"/>
      <c r="AA1117" s="29"/>
      <c r="AB1117" s="27" t="s">
        <v>2138</v>
      </c>
      <c r="AC1117" s="27"/>
      <c r="AD1117" s="27"/>
      <c r="AE1117" s="31">
        <f>19710</f>
        <v>19710</v>
      </c>
      <c r="AF1117" s="31"/>
      <c r="AG1117" s="31"/>
    </row>
    <row r="1118" spans="1:33" s="1" customFormat="1" ht="46.5" customHeight="1">
      <c r="A1118" s="24" t="s">
        <v>1585</v>
      </c>
      <c r="B1118" s="25" t="s">
        <v>1586</v>
      </c>
      <c r="C1118" s="25"/>
      <c r="D1118" s="25"/>
      <c r="E1118" s="26" t="s">
        <v>1587</v>
      </c>
      <c r="F1118" s="26"/>
      <c r="G1118" s="26"/>
      <c r="H1118" s="26"/>
      <c r="I1118" s="26"/>
      <c r="J1118" s="27" t="s">
        <v>2096</v>
      </c>
      <c r="K1118" s="27"/>
      <c r="L1118" s="27"/>
      <c r="M1118" s="27"/>
      <c r="N1118" s="28">
        <f>11344</f>
        <v>11344</v>
      </c>
      <c r="O1118" s="28"/>
      <c r="P1118" s="28"/>
      <c r="Q1118" s="27" t="s">
        <v>2032</v>
      </c>
      <c r="R1118" s="27"/>
      <c r="S1118" s="29" t="s">
        <v>2032</v>
      </c>
      <c r="T1118" s="29"/>
      <c r="U1118" s="29"/>
      <c r="V1118" s="29"/>
      <c r="W1118" s="30" t="s">
        <v>2032</v>
      </c>
      <c r="X1118" s="29" t="s">
        <v>2032</v>
      </c>
      <c r="Y1118" s="29"/>
      <c r="Z1118" s="29"/>
      <c r="AA1118" s="29"/>
      <c r="AB1118" s="27" t="s">
        <v>2096</v>
      </c>
      <c r="AC1118" s="27"/>
      <c r="AD1118" s="27"/>
      <c r="AE1118" s="31">
        <f>11344</f>
        <v>11344</v>
      </c>
      <c r="AF1118" s="31"/>
      <c r="AG1118" s="31"/>
    </row>
    <row r="1119" spans="1:33" s="1" customFormat="1" ht="33" customHeight="1">
      <c r="A1119" s="24" t="s">
        <v>1588</v>
      </c>
      <c r="B1119" s="25" t="s">
        <v>1589</v>
      </c>
      <c r="C1119" s="25"/>
      <c r="D1119" s="25"/>
      <c r="E1119" s="26" t="s">
        <v>1590</v>
      </c>
      <c r="F1119" s="26"/>
      <c r="G1119" s="26"/>
      <c r="H1119" s="26"/>
      <c r="I1119" s="26"/>
      <c r="J1119" s="27" t="s">
        <v>2754</v>
      </c>
      <c r="K1119" s="27"/>
      <c r="L1119" s="27"/>
      <c r="M1119" s="27"/>
      <c r="N1119" s="28">
        <f>108360</f>
        <v>108360</v>
      </c>
      <c r="O1119" s="28"/>
      <c r="P1119" s="28"/>
      <c r="Q1119" s="27" t="s">
        <v>2032</v>
      </c>
      <c r="R1119" s="27"/>
      <c r="S1119" s="29" t="s">
        <v>2032</v>
      </c>
      <c r="T1119" s="29"/>
      <c r="U1119" s="29"/>
      <c r="V1119" s="29"/>
      <c r="W1119" s="30" t="s">
        <v>2032</v>
      </c>
      <c r="X1119" s="29" t="s">
        <v>2032</v>
      </c>
      <c r="Y1119" s="29"/>
      <c r="Z1119" s="29"/>
      <c r="AA1119" s="29"/>
      <c r="AB1119" s="27" t="s">
        <v>2754</v>
      </c>
      <c r="AC1119" s="27"/>
      <c r="AD1119" s="27"/>
      <c r="AE1119" s="31">
        <f>108360</f>
        <v>108360</v>
      </c>
      <c r="AF1119" s="31"/>
      <c r="AG1119" s="31"/>
    </row>
    <row r="1120" spans="1:33" s="1" customFormat="1" ht="33" customHeight="1">
      <c r="A1120" s="24" t="s">
        <v>1591</v>
      </c>
      <c r="B1120" s="25" t="s">
        <v>1592</v>
      </c>
      <c r="C1120" s="25"/>
      <c r="D1120" s="25"/>
      <c r="E1120" s="26" t="s">
        <v>1593</v>
      </c>
      <c r="F1120" s="26"/>
      <c r="G1120" s="26"/>
      <c r="H1120" s="26"/>
      <c r="I1120" s="26"/>
      <c r="J1120" s="27" t="s">
        <v>2085</v>
      </c>
      <c r="K1120" s="27"/>
      <c r="L1120" s="27"/>
      <c r="M1120" s="27"/>
      <c r="N1120" s="28">
        <f>8508</f>
        <v>8508</v>
      </c>
      <c r="O1120" s="28"/>
      <c r="P1120" s="28"/>
      <c r="Q1120" s="27" t="s">
        <v>2032</v>
      </c>
      <c r="R1120" s="27"/>
      <c r="S1120" s="29" t="s">
        <v>2032</v>
      </c>
      <c r="T1120" s="29"/>
      <c r="U1120" s="29"/>
      <c r="V1120" s="29"/>
      <c r="W1120" s="30" t="s">
        <v>2032</v>
      </c>
      <c r="X1120" s="29" t="s">
        <v>2032</v>
      </c>
      <c r="Y1120" s="29"/>
      <c r="Z1120" s="29"/>
      <c r="AA1120" s="29"/>
      <c r="AB1120" s="27" t="s">
        <v>2085</v>
      </c>
      <c r="AC1120" s="27"/>
      <c r="AD1120" s="27"/>
      <c r="AE1120" s="31">
        <f>8508</f>
        <v>8508</v>
      </c>
      <c r="AF1120" s="31"/>
      <c r="AG1120" s="31"/>
    </row>
    <row r="1121" spans="1:33" s="1" customFormat="1" ht="33" customHeight="1">
      <c r="A1121" s="24" t="s">
        <v>1594</v>
      </c>
      <c r="B1121" s="25" t="s">
        <v>1595</v>
      </c>
      <c r="C1121" s="25"/>
      <c r="D1121" s="25"/>
      <c r="E1121" s="26" t="s">
        <v>1596</v>
      </c>
      <c r="F1121" s="26"/>
      <c r="G1121" s="26"/>
      <c r="H1121" s="26"/>
      <c r="I1121" s="26"/>
      <c r="J1121" s="27" t="s">
        <v>2096</v>
      </c>
      <c r="K1121" s="27"/>
      <c r="L1121" s="27"/>
      <c r="M1121" s="27"/>
      <c r="N1121" s="28">
        <f>11344</f>
        <v>11344</v>
      </c>
      <c r="O1121" s="28"/>
      <c r="P1121" s="28"/>
      <c r="Q1121" s="27" t="s">
        <v>2032</v>
      </c>
      <c r="R1121" s="27"/>
      <c r="S1121" s="29" t="s">
        <v>2032</v>
      </c>
      <c r="T1121" s="29"/>
      <c r="U1121" s="29"/>
      <c r="V1121" s="29"/>
      <c r="W1121" s="30" t="s">
        <v>2032</v>
      </c>
      <c r="X1121" s="29" t="s">
        <v>2032</v>
      </c>
      <c r="Y1121" s="29"/>
      <c r="Z1121" s="29"/>
      <c r="AA1121" s="29"/>
      <c r="AB1121" s="27" t="s">
        <v>2096</v>
      </c>
      <c r="AC1121" s="27"/>
      <c r="AD1121" s="27"/>
      <c r="AE1121" s="31">
        <f>11344</f>
        <v>11344</v>
      </c>
      <c r="AF1121" s="31"/>
      <c r="AG1121" s="31"/>
    </row>
    <row r="1122" spans="1:33" s="1" customFormat="1" ht="18.75" customHeight="1">
      <c r="A1122" s="24" t="s">
        <v>1597</v>
      </c>
      <c r="B1122" s="25" t="s">
        <v>1598</v>
      </c>
      <c r="C1122" s="25"/>
      <c r="D1122" s="25"/>
      <c r="E1122" s="26" t="s">
        <v>1599</v>
      </c>
      <c r="F1122" s="26"/>
      <c r="G1122" s="26"/>
      <c r="H1122" s="26"/>
      <c r="I1122" s="26"/>
      <c r="J1122" s="27" t="s">
        <v>2162</v>
      </c>
      <c r="K1122" s="27"/>
      <c r="L1122" s="27"/>
      <c r="M1122" s="27"/>
      <c r="N1122" s="28">
        <f>22800</f>
        <v>22800</v>
      </c>
      <c r="O1122" s="28"/>
      <c r="P1122" s="28"/>
      <c r="Q1122" s="27" t="s">
        <v>2032</v>
      </c>
      <c r="R1122" s="27"/>
      <c r="S1122" s="29" t="s">
        <v>2032</v>
      </c>
      <c r="T1122" s="29"/>
      <c r="U1122" s="29"/>
      <c r="V1122" s="29"/>
      <c r="W1122" s="30" t="s">
        <v>2032</v>
      </c>
      <c r="X1122" s="29" t="s">
        <v>2032</v>
      </c>
      <c r="Y1122" s="29"/>
      <c r="Z1122" s="29"/>
      <c r="AA1122" s="29"/>
      <c r="AB1122" s="27" t="s">
        <v>2162</v>
      </c>
      <c r="AC1122" s="27"/>
      <c r="AD1122" s="27"/>
      <c r="AE1122" s="31">
        <f>22800</f>
        <v>22800</v>
      </c>
      <c r="AF1122" s="31"/>
      <c r="AG1122" s="31"/>
    </row>
    <row r="1123" spans="1:33" s="1" customFormat="1" ht="18.75" customHeight="1">
      <c r="A1123" s="24" t="s">
        <v>1600</v>
      </c>
      <c r="B1123" s="25" t="s">
        <v>1601</v>
      </c>
      <c r="C1123" s="25"/>
      <c r="D1123" s="25"/>
      <c r="E1123" s="26" t="s">
        <v>1602</v>
      </c>
      <c r="F1123" s="26"/>
      <c r="G1123" s="26"/>
      <c r="H1123" s="26"/>
      <c r="I1123" s="26"/>
      <c r="J1123" s="27" t="s">
        <v>2056</v>
      </c>
      <c r="K1123" s="27"/>
      <c r="L1123" s="27"/>
      <c r="M1123" s="27"/>
      <c r="N1123" s="28">
        <f>1641.6</f>
        <v>1641.6</v>
      </c>
      <c r="O1123" s="28"/>
      <c r="P1123" s="28"/>
      <c r="Q1123" s="27" t="s">
        <v>2032</v>
      </c>
      <c r="R1123" s="27"/>
      <c r="S1123" s="29" t="s">
        <v>2032</v>
      </c>
      <c r="T1123" s="29"/>
      <c r="U1123" s="29"/>
      <c r="V1123" s="29"/>
      <c r="W1123" s="30" t="s">
        <v>2032</v>
      </c>
      <c r="X1123" s="29" t="s">
        <v>2032</v>
      </c>
      <c r="Y1123" s="29"/>
      <c r="Z1123" s="29"/>
      <c r="AA1123" s="29"/>
      <c r="AB1123" s="27" t="s">
        <v>2056</v>
      </c>
      <c r="AC1123" s="27"/>
      <c r="AD1123" s="27"/>
      <c r="AE1123" s="31">
        <f>1641.6</f>
        <v>1641.6</v>
      </c>
      <c r="AF1123" s="31"/>
      <c r="AG1123" s="31"/>
    </row>
    <row r="1124" spans="1:33" s="1" customFormat="1" ht="18.75" customHeight="1">
      <c r="A1124" s="24" t="s">
        <v>1603</v>
      </c>
      <c r="B1124" s="25" t="s">
        <v>1604</v>
      </c>
      <c r="C1124" s="25"/>
      <c r="D1124" s="25"/>
      <c r="E1124" s="26" t="s">
        <v>1602</v>
      </c>
      <c r="F1124" s="26"/>
      <c r="G1124" s="26"/>
      <c r="H1124" s="26"/>
      <c r="I1124" s="26"/>
      <c r="J1124" s="27" t="s">
        <v>2056</v>
      </c>
      <c r="K1124" s="27"/>
      <c r="L1124" s="27"/>
      <c r="M1124" s="27"/>
      <c r="N1124" s="28">
        <f>1641.6</f>
        <v>1641.6</v>
      </c>
      <c r="O1124" s="28"/>
      <c r="P1124" s="28"/>
      <c r="Q1124" s="27" t="s">
        <v>2032</v>
      </c>
      <c r="R1124" s="27"/>
      <c r="S1124" s="29" t="s">
        <v>2032</v>
      </c>
      <c r="T1124" s="29"/>
      <c r="U1124" s="29"/>
      <c r="V1124" s="29"/>
      <c r="W1124" s="30" t="s">
        <v>2032</v>
      </c>
      <c r="X1124" s="29" t="s">
        <v>2032</v>
      </c>
      <c r="Y1124" s="29"/>
      <c r="Z1124" s="29"/>
      <c r="AA1124" s="29"/>
      <c r="AB1124" s="27" t="s">
        <v>2056</v>
      </c>
      <c r="AC1124" s="27"/>
      <c r="AD1124" s="27"/>
      <c r="AE1124" s="31">
        <f>1641.6</f>
        <v>1641.6</v>
      </c>
      <c r="AF1124" s="31"/>
      <c r="AG1124" s="31"/>
    </row>
    <row r="1125" spans="1:33" s="1" customFormat="1" ht="18.75" customHeight="1">
      <c r="A1125" s="24" t="s">
        <v>1605</v>
      </c>
      <c r="B1125" s="25" t="s">
        <v>1606</v>
      </c>
      <c r="C1125" s="25"/>
      <c r="D1125" s="25"/>
      <c r="E1125" s="26" t="s">
        <v>1607</v>
      </c>
      <c r="F1125" s="26"/>
      <c r="G1125" s="26"/>
      <c r="H1125" s="26"/>
      <c r="I1125" s="26"/>
      <c r="J1125" s="27" t="s">
        <v>2132</v>
      </c>
      <c r="K1125" s="27"/>
      <c r="L1125" s="27"/>
      <c r="M1125" s="27"/>
      <c r="N1125" s="28">
        <f>10967.32</f>
        <v>10967.32</v>
      </c>
      <c r="O1125" s="28"/>
      <c r="P1125" s="28"/>
      <c r="Q1125" s="27" t="s">
        <v>2032</v>
      </c>
      <c r="R1125" s="27"/>
      <c r="S1125" s="29" t="s">
        <v>2032</v>
      </c>
      <c r="T1125" s="29"/>
      <c r="U1125" s="29"/>
      <c r="V1125" s="29"/>
      <c r="W1125" s="30" t="s">
        <v>2032</v>
      </c>
      <c r="X1125" s="29" t="s">
        <v>2032</v>
      </c>
      <c r="Y1125" s="29"/>
      <c r="Z1125" s="29"/>
      <c r="AA1125" s="29"/>
      <c r="AB1125" s="27" t="s">
        <v>2132</v>
      </c>
      <c r="AC1125" s="27"/>
      <c r="AD1125" s="27"/>
      <c r="AE1125" s="31">
        <f>10967.32</f>
        <v>10967.32</v>
      </c>
      <c r="AF1125" s="31"/>
      <c r="AG1125" s="31"/>
    </row>
    <row r="1126" spans="1:33" s="1" customFormat="1" ht="18.75" customHeight="1">
      <c r="A1126" s="24" t="s">
        <v>1608</v>
      </c>
      <c r="B1126" s="25" t="s">
        <v>1609</v>
      </c>
      <c r="C1126" s="25"/>
      <c r="D1126" s="25"/>
      <c r="E1126" s="26" t="s">
        <v>1610</v>
      </c>
      <c r="F1126" s="26"/>
      <c r="G1126" s="26"/>
      <c r="H1126" s="26"/>
      <c r="I1126" s="26"/>
      <c r="J1126" s="27" t="s">
        <v>2227</v>
      </c>
      <c r="K1126" s="27"/>
      <c r="L1126" s="27"/>
      <c r="M1126" s="27"/>
      <c r="N1126" s="28">
        <f>34500</f>
        <v>34500</v>
      </c>
      <c r="O1126" s="28"/>
      <c r="P1126" s="28"/>
      <c r="Q1126" s="27" t="s">
        <v>2032</v>
      </c>
      <c r="R1126" s="27"/>
      <c r="S1126" s="29" t="s">
        <v>2032</v>
      </c>
      <c r="T1126" s="29"/>
      <c r="U1126" s="29"/>
      <c r="V1126" s="29"/>
      <c r="W1126" s="30" t="s">
        <v>2032</v>
      </c>
      <c r="X1126" s="29" t="s">
        <v>2032</v>
      </c>
      <c r="Y1126" s="29"/>
      <c r="Z1126" s="29"/>
      <c r="AA1126" s="29"/>
      <c r="AB1126" s="27" t="s">
        <v>2227</v>
      </c>
      <c r="AC1126" s="27"/>
      <c r="AD1126" s="27"/>
      <c r="AE1126" s="31">
        <f>34500</f>
        <v>34500</v>
      </c>
      <c r="AF1126" s="31"/>
      <c r="AG1126" s="31"/>
    </row>
    <row r="1127" spans="1:33" s="1" customFormat="1" ht="18.75" customHeight="1">
      <c r="A1127" s="24" t="s">
        <v>1611</v>
      </c>
      <c r="B1127" s="25" t="s">
        <v>1606</v>
      </c>
      <c r="C1127" s="25"/>
      <c r="D1127" s="25"/>
      <c r="E1127" s="26" t="s">
        <v>1612</v>
      </c>
      <c r="F1127" s="26"/>
      <c r="G1127" s="26"/>
      <c r="H1127" s="26"/>
      <c r="I1127" s="26"/>
      <c r="J1127" s="27" t="s">
        <v>2269</v>
      </c>
      <c r="K1127" s="27"/>
      <c r="L1127" s="27"/>
      <c r="M1127" s="27"/>
      <c r="N1127" s="28">
        <f>5733.55</f>
        <v>5733.55</v>
      </c>
      <c r="O1127" s="28"/>
      <c r="P1127" s="28"/>
      <c r="Q1127" s="27" t="s">
        <v>2032</v>
      </c>
      <c r="R1127" s="27"/>
      <c r="S1127" s="29" t="s">
        <v>2032</v>
      </c>
      <c r="T1127" s="29"/>
      <c r="U1127" s="29"/>
      <c r="V1127" s="29"/>
      <c r="W1127" s="30" t="s">
        <v>2032</v>
      </c>
      <c r="X1127" s="29" t="s">
        <v>2032</v>
      </c>
      <c r="Y1127" s="29"/>
      <c r="Z1127" s="29"/>
      <c r="AA1127" s="29"/>
      <c r="AB1127" s="27" t="s">
        <v>2269</v>
      </c>
      <c r="AC1127" s="27"/>
      <c r="AD1127" s="27"/>
      <c r="AE1127" s="31">
        <f>5733.55</f>
        <v>5733.55</v>
      </c>
      <c r="AF1127" s="31"/>
      <c r="AG1127" s="31"/>
    </row>
    <row r="1128" spans="1:33" s="1" customFormat="1" ht="18.75" customHeight="1">
      <c r="A1128" s="24" t="s">
        <v>1613</v>
      </c>
      <c r="B1128" s="25" t="s">
        <v>1614</v>
      </c>
      <c r="C1128" s="25"/>
      <c r="D1128" s="25"/>
      <c r="E1128" s="26" t="s">
        <v>1615</v>
      </c>
      <c r="F1128" s="26"/>
      <c r="G1128" s="26"/>
      <c r="H1128" s="26"/>
      <c r="I1128" s="26"/>
      <c r="J1128" s="27" t="s">
        <v>2056</v>
      </c>
      <c r="K1128" s="27"/>
      <c r="L1128" s="27"/>
      <c r="M1128" s="27"/>
      <c r="N1128" s="28">
        <f>1121</f>
        <v>1121</v>
      </c>
      <c r="O1128" s="28"/>
      <c r="P1128" s="28"/>
      <c r="Q1128" s="27" t="s">
        <v>2032</v>
      </c>
      <c r="R1128" s="27"/>
      <c r="S1128" s="29" t="s">
        <v>2032</v>
      </c>
      <c r="T1128" s="29"/>
      <c r="U1128" s="29"/>
      <c r="V1128" s="29"/>
      <c r="W1128" s="30" t="s">
        <v>2032</v>
      </c>
      <c r="X1128" s="29" t="s">
        <v>2032</v>
      </c>
      <c r="Y1128" s="29"/>
      <c r="Z1128" s="29"/>
      <c r="AA1128" s="29"/>
      <c r="AB1128" s="27" t="s">
        <v>2056</v>
      </c>
      <c r="AC1128" s="27"/>
      <c r="AD1128" s="27"/>
      <c r="AE1128" s="31">
        <f>1121</f>
        <v>1121</v>
      </c>
      <c r="AF1128" s="31"/>
      <c r="AG1128" s="31"/>
    </row>
    <row r="1129" spans="1:33" s="1" customFormat="1" ht="18.75" customHeight="1">
      <c r="A1129" s="24" t="s">
        <v>1616</v>
      </c>
      <c r="B1129" s="25" t="s">
        <v>1617</v>
      </c>
      <c r="C1129" s="25"/>
      <c r="D1129" s="25"/>
      <c r="E1129" s="26" t="s">
        <v>1618</v>
      </c>
      <c r="F1129" s="26"/>
      <c r="G1129" s="26"/>
      <c r="H1129" s="26"/>
      <c r="I1129" s="26"/>
      <c r="J1129" s="27" t="s">
        <v>2056</v>
      </c>
      <c r="K1129" s="27"/>
      <c r="L1129" s="27"/>
      <c r="M1129" s="27"/>
      <c r="N1129" s="28">
        <f>219.19</f>
        <v>219.19</v>
      </c>
      <c r="O1129" s="28"/>
      <c r="P1129" s="28"/>
      <c r="Q1129" s="27" t="s">
        <v>2032</v>
      </c>
      <c r="R1129" s="27"/>
      <c r="S1129" s="29" t="s">
        <v>2032</v>
      </c>
      <c r="T1129" s="29"/>
      <c r="U1129" s="29"/>
      <c r="V1129" s="29"/>
      <c r="W1129" s="30" t="s">
        <v>2032</v>
      </c>
      <c r="X1129" s="29" t="s">
        <v>2032</v>
      </c>
      <c r="Y1129" s="29"/>
      <c r="Z1129" s="29"/>
      <c r="AA1129" s="29"/>
      <c r="AB1129" s="27" t="s">
        <v>2056</v>
      </c>
      <c r="AC1129" s="27"/>
      <c r="AD1129" s="27"/>
      <c r="AE1129" s="31">
        <f>219.19</f>
        <v>219.19</v>
      </c>
      <c r="AF1129" s="31"/>
      <c r="AG1129" s="31"/>
    </row>
    <row r="1130" spans="1:33" s="1" customFormat="1" ht="18.75" customHeight="1">
      <c r="A1130" s="24" t="s">
        <v>1619</v>
      </c>
      <c r="B1130" s="25" t="s">
        <v>1620</v>
      </c>
      <c r="C1130" s="25"/>
      <c r="D1130" s="25"/>
      <c r="E1130" s="26" t="s">
        <v>1621</v>
      </c>
      <c r="F1130" s="26"/>
      <c r="G1130" s="26"/>
      <c r="H1130" s="26"/>
      <c r="I1130" s="26"/>
      <c r="J1130" s="27" t="s">
        <v>2056</v>
      </c>
      <c r="K1130" s="27"/>
      <c r="L1130" s="27"/>
      <c r="M1130" s="27"/>
      <c r="N1130" s="28">
        <f>368.64</f>
        <v>368.64</v>
      </c>
      <c r="O1130" s="28"/>
      <c r="P1130" s="28"/>
      <c r="Q1130" s="27" t="s">
        <v>2032</v>
      </c>
      <c r="R1130" s="27"/>
      <c r="S1130" s="29" t="s">
        <v>2032</v>
      </c>
      <c r="T1130" s="29"/>
      <c r="U1130" s="29"/>
      <c r="V1130" s="29"/>
      <c r="W1130" s="30" t="s">
        <v>2032</v>
      </c>
      <c r="X1130" s="29" t="s">
        <v>2032</v>
      </c>
      <c r="Y1130" s="29"/>
      <c r="Z1130" s="29"/>
      <c r="AA1130" s="29"/>
      <c r="AB1130" s="27" t="s">
        <v>2056</v>
      </c>
      <c r="AC1130" s="27"/>
      <c r="AD1130" s="27"/>
      <c r="AE1130" s="31">
        <f>368.64</f>
        <v>368.64</v>
      </c>
      <c r="AF1130" s="31"/>
      <c r="AG1130" s="31"/>
    </row>
    <row r="1131" spans="1:33" s="1" customFormat="1" ht="33" customHeight="1">
      <c r="A1131" s="24" t="s">
        <v>1622</v>
      </c>
      <c r="B1131" s="25" t="s">
        <v>1623</v>
      </c>
      <c r="C1131" s="25"/>
      <c r="D1131" s="25"/>
      <c r="E1131" s="26" t="s">
        <v>1624</v>
      </c>
      <c r="F1131" s="26"/>
      <c r="G1131" s="26"/>
      <c r="H1131" s="26"/>
      <c r="I1131" s="26"/>
      <c r="J1131" s="27" t="s">
        <v>2056</v>
      </c>
      <c r="K1131" s="27"/>
      <c r="L1131" s="27"/>
      <c r="M1131" s="27"/>
      <c r="N1131" s="28">
        <f>1441</f>
        <v>1441</v>
      </c>
      <c r="O1131" s="28"/>
      <c r="P1131" s="28"/>
      <c r="Q1131" s="27" t="s">
        <v>2032</v>
      </c>
      <c r="R1131" s="27"/>
      <c r="S1131" s="29" t="s">
        <v>2032</v>
      </c>
      <c r="T1131" s="29"/>
      <c r="U1131" s="29"/>
      <c r="V1131" s="29"/>
      <c r="W1131" s="30" t="s">
        <v>2032</v>
      </c>
      <c r="X1131" s="29" t="s">
        <v>2032</v>
      </c>
      <c r="Y1131" s="29"/>
      <c r="Z1131" s="29"/>
      <c r="AA1131" s="29"/>
      <c r="AB1131" s="27" t="s">
        <v>2056</v>
      </c>
      <c r="AC1131" s="27"/>
      <c r="AD1131" s="27"/>
      <c r="AE1131" s="31">
        <f>1441</f>
        <v>1441</v>
      </c>
      <c r="AF1131" s="31"/>
      <c r="AG1131" s="31"/>
    </row>
    <row r="1132" spans="1:33" s="1" customFormat="1" ht="18.75" customHeight="1">
      <c r="A1132" s="24" t="s">
        <v>1625</v>
      </c>
      <c r="B1132" s="25" t="s">
        <v>1626</v>
      </c>
      <c r="C1132" s="25"/>
      <c r="D1132" s="25"/>
      <c r="E1132" s="26" t="s">
        <v>1627</v>
      </c>
      <c r="F1132" s="26"/>
      <c r="G1132" s="26"/>
      <c r="H1132" s="26"/>
      <c r="I1132" s="26"/>
      <c r="J1132" s="27" t="s">
        <v>2056</v>
      </c>
      <c r="K1132" s="27"/>
      <c r="L1132" s="27"/>
      <c r="M1132" s="27"/>
      <c r="N1132" s="28">
        <f>442.5</f>
        <v>442.5</v>
      </c>
      <c r="O1132" s="28"/>
      <c r="P1132" s="28"/>
      <c r="Q1132" s="27" t="s">
        <v>2032</v>
      </c>
      <c r="R1132" s="27"/>
      <c r="S1132" s="29" t="s">
        <v>2032</v>
      </c>
      <c r="T1132" s="29"/>
      <c r="U1132" s="29"/>
      <c r="V1132" s="29"/>
      <c r="W1132" s="30" t="s">
        <v>2032</v>
      </c>
      <c r="X1132" s="29" t="s">
        <v>2032</v>
      </c>
      <c r="Y1132" s="29"/>
      <c r="Z1132" s="29"/>
      <c r="AA1132" s="29"/>
      <c r="AB1132" s="27" t="s">
        <v>2056</v>
      </c>
      <c r="AC1132" s="27"/>
      <c r="AD1132" s="27"/>
      <c r="AE1132" s="31">
        <f>442.5</f>
        <v>442.5</v>
      </c>
      <c r="AF1132" s="31"/>
      <c r="AG1132" s="31"/>
    </row>
    <row r="1133" spans="1:33" s="1" customFormat="1" ht="33" customHeight="1">
      <c r="A1133" s="24" t="s">
        <v>1628</v>
      </c>
      <c r="B1133" s="25" t="s">
        <v>1629</v>
      </c>
      <c r="C1133" s="25"/>
      <c r="D1133" s="25"/>
      <c r="E1133" s="26" t="s">
        <v>1630</v>
      </c>
      <c r="F1133" s="26"/>
      <c r="G1133" s="26"/>
      <c r="H1133" s="26"/>
      <c r="I1133" s="26"/>
      <c r="J1133" s="27" t="s">
        <v>2056</v>
      </c>
      <c r="K1133" s="27"/>
      <c r="L1133" s="27"/>
      <c r="M1133" s="27"/>
      <c r="N1133" s="28">
        <f>73.06</f>
        <v>73.06</v>
      </c>
      <c r="O1133" s="28"/>
      <c r="P1133" s="28"/>
      <c r="Q1133" s="27" t="s">
        <v>2032</v>
      </c>
      <c r="R1133" s="27"/>
      <c r="S1133" s="29" t="s">
        <v>2032</v>
      </c>
      <c r="T1133" s="29"/>
      <c r="U1133" s="29"/>
      <c r="V1133" s="29"/>
      <c r="W1133" s="30" t="s">
        <v>2032</v>
      </c>
      <c r="X1133" s="29" t="s">
        <v>2032</v>
      </c>
      <c r="Y1133" s="29"/>
      <c r="Z1133" s="29"/>
      <c r="AA1133" s="29"/>
      <c r="AB1133" s="27" t="s">
        <v>2056</v>
      </c>
      <c r="AC1133" s="27"/>
      <c r="AD1133" s="27"/>
      <c r="AE1133" s="31">
        <f>73.06</f>
        <v>73.06</v>
      </c>
      <c r="AF1133" s="31"/>
      <c r="AG1133" s="31"/>
    </row>
    <row r="1134" spans="1:33" s="1" customFormat="1" ht="18.75" customHeight="1">
      <c r="A1134" s="24" t="s">
        <v>1631</v>
      </c>
      <c r="B1134" s="25" t="s">
        <v>1632</v>
      </c>
      <c r="C1134" s="25"/>
      <c r="D1134" s="25"/>
      <c r="E1134" s="26" t="s">
        <v>1633</v>
      </c>
      <c r="F1134" s="26"/>
      <c r="G1134" s="26"/>
      <c r="H1134" s="26"/>
      <c r="I1134" s="26"/>
      <c r="J1134" s="27" t="s">
        <v>2061</v>
      </c>
      <c r="K1134" s="27"/>
      <c r="L1134" s="27"/>
      <c r="M1134" s="27"/>
      <c r="N1134" s="28">
        <f>808.3</f>
        <v>808.3</v>
      </c>
      <c r="O1134" s="28"/>
      <c r="P1134" s="28"/>
      <c r="Q1134" s="27" t="s">
        <v>2032</v>
      </c>
      <c r="R1134" s="27"/>
      <c r="S1134" s="29" t="s">
        <v>2032</v>
      </c>
      <c r="T1134" s="29"/>
      <c r="U1134" s="29"/>
      <c r="V1134" s="29"/>
      <c r="W1134" s="30" t="s">
        <v>2032</v>
      </c>
      <c r="X1134" s="29" t="s">
        <v>2032</v>
      </c>
      <c r="Y1134" s="29"/>
      <c r="Z1134" s="29"/>
      <c r="AA1134" s="29"/>
      <c r="AB1134" s="27" t="s">
        <v>2061</v>
      </c>
      <c r="AC1134" s="27"/>
      <c r="AD1134" s="27"/>
      <c r="AE1134" s="31">
        <f>808.3</f>
        <v>808.3</v>
      </c>
      <c r="AF1134" s="31"/>
      <c r="AG1134" s="31"/>
    </row>
    <row r="1135" spans="1:33" s="1" customFormat="1" ht="33" customHeight="1">
      <c r="A1135" s="24" t="s">
        <v>1634</v>
      </c>
      <c r="B1135" s="25" t="s">
        <v>1635</v>
      </c>
      <c r="C1135" s="25"/>
      <c r="D1135" s="25"/>
      <c r="E1135" s="26" t="s">
        <v>1636</v>
      </c>
      <c r="F1135" s="26"/>
      <c r="G1135" s="26"/>
      <c r="H1135" s="26"/>
      <c r="I1135" s="26"/>
      <c r="J1135" s="27" t="s">
        <v>2065</v>
      </c>
      <c r="K1135" s="27"/>
      <c r="L1135" s="27"/>
      <c r="M1135" s="27"/>
      <c r="N1135" s="28">
        <f>1357</f>
        <v>1357</v>
      </c>
      <c r="O1135" s="28"/>
      <c r="P1135" s="28"/>
      <c r="Q1135" s="27" t="s">
        <v>2032</v>
      </c>
      <c r="R1135" s="27"/>
      <c r="S1135" s="29" t="s">
        <v>2032</v>
      </c>
      <c r="T1135" s="29"/>
      <c r="U1135" s="29"/>
      <c r="V1135" s="29"/>
      <c r="W1135" s="30" t="s">
        <v>2032</v>
      </c>
      <c r="X1135" s="29" t="s">
        <v>2032</v>
      </c>
      <c r="Y1135" s="29"/>
      <c r="Z1135" s="29"/>
      <c r="AA1135" s="29"/>
      <c r="AB1135" s="27" t="s">
        <v>2065</v>
      </c>
      <c r="AC1135" s="27"/>
      <c r="AD1135" s="27"/>
      <c r="AE1135" s="31">
        <f>1357</f>
        <v>1357</v>
      </c>
      <c r="AF1135" s="31"/>
      <c r="AG1135" s="31"/>
    </row>
    <row r="1136" spans="1:33" s="1" customFormat="1" ht="33" customHeight="1">
      <c r="A1136" s="24" t="s">
        <v>1637</v>
      </c>
      <c r="B1136" s="25" t="s">
        <v>1638</v>
      </c>
      <c r="C1136" s="25"/>
      <c r="D1136" s="25"/>
      <c r="E1136" s="26" t="s">
        <v>1639</v>
      </c>
      <c r="F1136" s="26"/>
      <c r="G1136" s="26"/>
      <c r="H1136" s="26"/>
      <c r="I1136" s="26"/>
      <c r="J1136" s="27" t="s">
        <v>2135</v>
      </c>
      <c r="K1136" s="27"/>
      <c r="L1136" s="27"/>
      <c r="M1136" s="27"/>
      <c r="N1136" s="28">
        <f>1663.21</f>
        <v>1663.21</v>
      </c>
      <c r="O1136" s="28"/>
      <c r="P1136" s="28"/>
      <c r="Q1136" s="27" t="s">
        <v>2032</v>
      </c>
      <c r="R1136" s="27"/>
      <c r="S1136" s="29" t="s">
        <v>2032</v>
      </c>
      <c r="T1136" s="29"/>
      <c r="U1136" s="29"/>
      <c r="V1136" s="29"/>
      <c r="W1136" s="30" t="s">
        <v>2032</v>
      </c>
      <c r="X1136" s="29" t="s">
        <v>2032</v>
      </c>
      <c r="Y1136" s="29"/>
      <c r="Z1136" s="29"/>
      <c r="AA1136" s="29"/>
      <c r="AB1136" s="27" t="s">
        <v>2135</v>
      </c>
      <c r="AC1136" s="27"/>
      <c r="AD1136" s="27"/>
      <c r="AE1136" s="31">
        <f>1663.21</f>
        <v>1663.21</v>
      </c>
      <c r="AF1136" s="31"/>
      <c r="AG1136" s="31"/>
    </row>
    <row r="1137" spans="1:33" s="1" customFormat="1" ht="33" customHeight="1">
      <c r="A1137" s="24" t="s">
        <v>1640</v>
      </c>
      <c r="B1137" s="25" t="s">
        <v>1641</v>
      </c>
      <c r="C1137" s="25"/>
      <c r="D1137" s="25"/>
      <c r="E1137" s="26" t="s">
        <v>1642</v>
      </c>
      <c r="F1137" s="26"/>
      <c r="G1137" s="26"/>
      <c r="H1137" s="26"/>
      <c r="I1137" s="26"/>
      <c r="J1137" s="27" t="s">
        <v>2056</v>
      </c>
      <c r="K1137" s="27"/>
      <c r="L1137" s="27"/>
      <c r="M1137" s="27"/>
      <c r="N1137" s="28">
        <f>1382.96</f>
        <v>1382.96</v>
      </c>
      <c r="O1137" s="28"/>
      <c r="P1137" s="28"/>
      <c r="Q1137" s="27" t="s">
        <v>2032</v>
      </c>
      <c r="R1137" s="27"/>
      <c r="S1137" s="29" t="s">
        <v>2032</v>
      </c>
      <c r="T1137" s="29"/>
      <c r="U1137" s="29"/>
      <c r="V1137" s="29"/>
      <c r="W1137" s="30" t="s">
        <v>2032</v>
      </c>
      <c r="X1137" s="29" t="s">
        <v>2032</v>
      </c>
      <c r="Y1137" s="29"/>
      <c r="Z1137" s="29"/>
      <c r="AA1137" s="29"/>
      <c r="AB1137" s="27" t="s">
        <v>2056</v>
      </c>
      <c r="AC1137" s="27"/>
      <c r="AD1137" s="27"/>
      <c r="AE1137" s="31">
        <f>1382.96</f>
        <v>1382.96</v>
      </c>
      <c r="AF1137" s="31"/>
      <c r="AG1137" s="31"/>
    </row>
    <row r="1138" spans="1:33" s="1" customFormat="1" ht="18.75" customHeight="1">
      <c r="A1138" s="24" t="s">
        <v>1643</v>
      </c>
      <c r="B1138" s="25" t="s">
        <v>2684</v>
      </c>
      <c r="C1138" s="25"/>
      <c r="D1138" s="25"/>
      <c r="E1138" s="26" t="s">
        <v>1644</v>
      </c>
      <c r="F1138" s="26"/>
      <c r="G1138" s="26"/>
      <c r="H1138" s="26"/>
      <c r="I1138" s="26"/>
      <c r="J1138" s="27" t="s">
        <v>2056</v>
      </c>
      <c r="K1138" s="27"/>
      <c r="L1138" s="27"/>
      <c r="M1138" s="27"/>
      <c r="N1138" s="28">
        <f>73.06</f>
        <v>73.06</v>
      </c>
      <c r="O1138" s="28"/>
      <c r="P1138" s="28"/>
      <c r="Q1138" s="27" t="s">
        <v>2032</v>
      </c>
      <c r="R1138" s="27"/>
      <c r="S1138" s="29" t="s">
        <v>2032</v>
      </c>
      <c r="T1138" s="29"/>
      <c r="U1138" s="29"/>
      <c r="V1138" s="29"/>
      <c r="W1138" s="30" t="s">
        <v>2032</v>
      </c>
      <c r="X1138" s="29" t="s">
        <v>2032</v>
      </c>
      <c r="Y1138" s="29"/>
      <c r="Z1138" s="29"/>
      <c r="AA1138" s="29"/>
      <c r="AB1138" s="27" t="s">
        <v>2056</v>
      </c>
      <c r="AC1138" s="27"/>
      <c r="AD1138" s="27"/>
      <c r="AE1138" s="31">
        <f>73.06</f>
        <v>73.06</v>
      </c>
      <c r="AF1138" s="31"/>
      <c r="AG1138" s="31"/>
    </row>
    <row r="1139" spans="1:33" s="1" customFormat="1" ht="18.75" customHeight="1">
      <c r="A1139" s="24" t="s">
        <v>1645</v>
      </c>
      <c r="B1139" s="25" t="s">
        <v>1646</v>
      </c>
      <c r="C1139" s="25"/>
      <c r="D1139" s="25"/>
      <c r="E1139" s="26" t="s">
        <v>1647</v>
      </c>
      <c r="F1139" s="26"/>
      <c r="G1139" s="26"/>
      <c r="H1139" s="26"/>
      <c r="I1139" s="26"/>
      <c r="J1139" s="27" t="s">
        <v>2056</v>
      </c>
      <c r="K1139" s="27"/>
      <c r="L1139" s="27"/>
      <c r="M1139" s="27"/>
      <c r="N1139" s="28">
        <f>73.06</f>
        <v>73.06</v>
      </c>
      <c r="O1139" s="28"/>
      <c r="P1139" s="28"/>
      <c r="Q1139" s="27" t="s">
        <v>2032</v>
      </c>
      <c r="R1139" s="27"/>
      <c r="S1139" s="29" t="s">
        <v>2032</v>
      </c>
      <c r="T1139" s="29"/>
      <c r="U1139" s="29"/>
      <c r="V1139" s="29"/>
      <c r="W1139" s="30" t="s">
        <v>2032</v>
      </c>
      <c r="X1139" s="29" t="s">
        <v>2032</v>
      </c>
      <c r="Y1139" s="29"/>
      <c r="Z1139" s="29"/>
      <c r="AA1139" s="29"/>
      <c r="AB1139" s="27" t="s">
        <v>2056</v>
      </c>
      <c r="AC1139" s="27"/>
      <c r="AD1139" s="27"/>
      <c r="AE1139" s="31">
        <f>73.06</f>
        <v>73.06</v>
      </c>
      <c r="AF1139" s="31"/>
      <c r="AG1139" s="31"/>
    </row>
    <row r="1140" spans="1:33" s="1" customFormat="1" ht="18.75" customHeight="1">
      <c r="A1140" s="24" t="s">
        <v>1648</v>
      </c>
      <c r="B1140" s="25" t="s">
        <v>2681</v>
      </c>
      <c r="C1140" s="25"/>
      <c r="D1140" s="25"/>
      <c r="E1140" s="26" t="s">
        <v>1649</v>
      </c>
      <c r="F1140" s="26"/>
      <c r="G1140" s="26"/>
      <c r="H1140" s="26"/>
      <c r="I1140" s="26"/>
      <c r="J1140" s="27" t="s">
        <v>2058</v>
      </c>
      <c r="K1140" s="27"/>
      <c r="L1140" s="27"/>
      <c r="M1140" s="27"/>
      <c r="N1140" s="28">
        <f>219.18</f>
        <v>219.18</v>
      </c>
      <c r="O1140" s="28"/>
      <c r="P1140" s="28"/>
      <c r="Q1140" s="27" t="s">
        <v>2032</v>
      </c>
      <c r="R1140" s="27"/>
      <c r="S1140" s="29" t="s">
        <v>2032</v>
      </c>
      <c r="T1140" s="29"/>
      <c r="U1140" s="29"/>
      <c r="V1140" s="29"/>
      <c r="W1140" s="30" t="s">
        <v>2032</v>
      </c>
      <c r="X1140" s="29" t="s">
        <v>2032</v>
      </c>
      <c r="Y1140" s="29"/>
      <c r="Z1140" s="29"/>
      <c r="AA1140" s="29"/>
      <c r="AB1140" s="27" t="s">
        <v>2058</v>
      </c>
      <c r="AC1140" s="27"/>
      <c r="AD1140" s="27"/>
      <c r="AE1140" s="31">
        <f>219.18</f>
        <v>219.18</v>
      </c>
      <c r="AF1140" s="31"/>
      <c r="AG1140" s="31"/>
    </row>
    <row r="1141" spans="1:33" s="1" customFormat="1" ht="18.75" customHeight="1">
      <c r="A1141" s="24" t="s">
        <v>1650</v>
      </c>
      <c r="B1141" s="25" t="s">
        <v>2519</v>
      </c>
      <c r="C1141" s="25"/>
      <c r="D1141" s="25"/>
      <c r="E1141" s="26" t="s">
        <v>1651</v>
      </c>
      <c r="F1141" s="26"/>
      <c r="G1141" s="26"/>
      <c r="H1141" s="26"/>
      <c r="I1141" s="26"/>
      <c r="J1141" s="27" t="s">
        <v>2123</v>
      </c>
      <c r="K1141" s="27"/>
      <c r="L1141" s="27"/>
      <c r="M1141" s="27"/>
      <c r="N1141" s="28">
        <f>5250</f>
        <v>5250</v>
      </c>
      <c r="O1141" s="28"/>
      <c r="P1141" s="28"/>
      <c r="Q1141" s="27" t="s">
        <v>2032</v>
      </c>
      <c r="R1141" s="27"/>
      <c r="S1141" s="29" t="s">
        <v>2032</v>
      </c>
      <c r="T1141" s="29"/>
      <c r="U1141" s="29"/>
      <c r="V1141" s="29"/>
      <c r="W1141" s="30" t="s">
        <v>2032</v>
      </c>
      <c r="X1141" s="29" t="s">
        <v>2032</v>
      </c>
      <c r="Y1141" s="29"/>
      <c r="Z1141" s="29"/>
      <c r="AA1141" s="29"/>
      <c r="AB1141" s="27" t="s">
        <v>2123</v>
      </c>
      <c r="AC1141" s="27"/>
      <c r="AD1141" s="27"/>
      <c r="AE1141" s="31">
        <f>5250</f>
        <v>5250</v>
      </c>
      <c r="AF1141" s="31"/>
      <c r="AG1141" s="31"/>
    </row>
    <row r="1142" spans="1:33" s="1" customFormat="1" ht="18.75" customHeight="1">
      <c r="A1142" s="24" t="s">
        <v>1652</v>
      </c>
      <c r="B1142" s="25" t="s">
        <v>1653</v>
      </c>
      <c r="C1142" s="25"/>
      <c r="D1142" s="25"/>
      <c r="E1142" s="26" t="s">
        <v>1654</v>
      </c>
      <c r="F1142" s="26"/>
      <c r="G1142" s="26"/>
      <c r="H1142" s="26"/>
      <c r="I1142" s="26"/>
      <c r="J1142" s="27" t="s">
        <v>2241</v>
      </c>
      <c r="K1142" s="27"/>
      <c r="L1142" s="27"/>
      <c r="M1142" s="27"/>
      <c r="N1142" s="28">
        <f>17160</f>
        <v>17160</v>
      </c>
      <c r="O1142" s="28"/>
      <c r="P1142" s="28"/>
      <c r="Q1142" s="27" t="s">
        <v>2032</v>
      </c>
      <c r="R1142" s="27"/>
      <c r="S1142" s="29" t="s">
        <v>2032</v>
      </c>
      <c r="T1142" s="29"/>
      <c r="U1142" s="29"/>
      <c r="V1142" s="29"/>
      <c r="W1142" s="30" t="s">
        <v>2032</v>
      </c>
      <c r="X1142" s="29" t="s">
        <v>2032</v>
      </c>
      <c r="Y1142" s="29"/>
      <c r="Z1142" s="29"/>
      <c r="AA1142" s="29"/>
      <c r="AB1142" s="27" t="s">
        <v>2241</v>
      </c>
      <c r="AC1142" s="27"/>
      <c r="AD1142" s="27"/>
      <c r="AE1142" s="31">
        <f>17160</f>
        <v>17160</v>
      </c>
      <c r="AF1142" s="31"/>
      <c r="AG1142" s="31"/>
    </row>
    <row r="1143" spans="1:33" s="1" customFormat="1" ht="18.75" customHeight="1">
      <c r="A1143" s="24" t="s">
        <v>1655</v>
      </c>
      <c r="B1143" s="25" t="s">
        <v>1656</v>
      </c>
      <c r="C1143" s="25"/>
      <c r="D1143" s="25"/>
      <c r="E1143" s="26" t="s">
        <v>1657</v>
      </c>
      <c r="F1143" s="26"/>
      <c r="G1143" s="26"/>
      <c r="H1143" s="26"/>
      <c r="I1143" s="26"/>
      <c r="J1143" s="27" t="s">
        <v>2060</v>
      </c>
      <c r="K1143" s="27"/>
      <c r="L1143" s="27"/>
      <c r="M1143" s="27"/>
      <c r="N1143" s="28">
        <f>25</f>
        <v>25</v>
      </c>
      <c r="O1143" s="28"/>
      <c r="P1143" s="28"/>
      <c r="Q1143" s="27" t="s">
        <v>2032</v>
      </c>
      <c r="R1143" s="27"/>
      <c r="S1143" s="29" t="s">
        <v>2032</v>
      </c>
      <c r="T1143" s="29"/>
      <c r="U1143" s="29"/>
      <c r="V1143" s="29"/>
      <c r="W1143" s="30" t="s">
        <v>2032</v>
      </c>
      <c r="X1143" s="29" t="s">
        <v>2032</v>
      </c>
      <c r="Y1143" s="29"/>
      <c r="Z1143" s="29"/>
      <c r="AA1143" s="29"/>
      <c r="AB1143" s="27" t="s">
        <v>2060</v>
      </c>
      <c r="AC1143" s="27"/>
      <c r="AD1143" s="27"/>
      <c r="AE1143" s="31">
        <f>25</f>
        <v>25</v>
      </c>
      <c r="AF1143" s="31"/>
      <c r="AG1143" s="31"/>
    </row>
    <row r="1144" spans="1:33" s="1" customFormat="1" ht="18.75" customHeight="1">
      <c r="A1144" s="24" t="s">
        <v>1658</v>
      </c>
      <c r="B1144" s="25" t="s">
        <v>2540</v>
      </c>
      <c r="C1144" s="25"/>
      <c r="D1144" s="25"/>
      <c r="E1144" s="26" t="s">
        <v>1659</v>
      </c>
      <c r="F1144" s="26"/>
      <c r="G1144" s="26"/>
      <c r="H1144" s="26"/>
      <c r="I1144" s="26"/>
      <c r="J1144" s="27" t="s">
        <v>2297</v>
      </c>
      <c r="K1144" s="27"/>
      <c r="L1144" s="27"/>
      <c r="M1144" s="27"/>
      <c r="N1144" s="28">
        <f>24500</f>
        <v>24500</v>
      </c>
      <c r="O1144" s="28"/>
      <c r="P1144" s="28"/>
      <c r="Q1144" s="27" t="s">
        <v>2032</v>
      </c>
      <c r="R1144" s="27"/>
      <c r="S1144" s="29" t="s">
        <v>2032</v>
      </c>
      <c r="T1144" s="29"/>
      <c r="U1144" s="29"/>
      <c r="V1144" s="29"/>
      <c r="W1144" s="30" t="s">
        <v>2032</v>
      </c>
      <c r="X1144" s="29" t="s">
        <v>2032</v>
      </c>
      <c r="Y1144" s="29"/>
      <c r="Z1144" s="29"/>
      <c r="AA1144" s="29"/>
      <c r="AB1144" s="27" t="s">
        <v>2297</v>
      </c>
      <c r="AC1144" s="27"/>
      <c r="AD1144" s="27"/>
      <c r="AE1144" s="31">
        <f>24500</f>
        <v>24500</v>
      </c>
      <c r="AF1144" s="31"/>
      <c r="AG1144" s="31"/>
    </row>
    <row r="1145" spans="1:33" s="1" customFormat="1" ht="18.75" customHeight="1">
      <c r="A1145" s="24" t="s">
        <v>1660</v>
      </c>
      <c r="B1145" s="25" t="s">
        <v>1661</v>
      </c>
      <c r="C1145" s="25"/>
      <c r="D1145" s="25"/>
      <c r="E1145" s="26" t="s">
        <v>1662</v>
      </c>
      <c r="F1145" s="26"/>
      <c r="G1145" s="26"/>
      <c r="H1145" s="26"/>
      <c r="I1145" s="26"/>
      <c r="J1145" s="27" t="s">
        <v>2057</v>
      </c>
      <c r="K1145" s="27"/>
      <c r="L1145" s="27"/>
      <c r="M1145" s="27"/>
      <c r="N1145" s="28">
        <f>1300</f>
        <v>1300</v>
      </c>
      <c r="O1145" s="28"/>
      <c r="P1145" s="28"/>
      <c r="Q1145" s="27" t="s">
        <v>2032</v>
      </c>
      <c r="R1145" s="27"/>
      <c r="S1145" s="29" t="s">
        <v>2032</v>
      </c>
      <c r="T1145" s="29"/>
      <c r="U1145" s="29"/>
      <c r="V1145" s="29"/>
      <c r="W1145" s="30" t="s">
        <v>2032</v>
      </c>
      <c r="X1145" s="29" t="s">
        <v>2032</v>
      </c>
      <c r="Y1145" s="29"/>
      <c r="Z1145" s="29"/>
      <c r="AA1145" s="29"/>
      <c r="AB1145" s="27" t="s">
        <v>2057</v>
      </c>
      <c r="AC1145" s="27"/>
      <c r="AD1145" s="27"/>
      <c r="AE1145" s="31">
        <f>1300</f>
        <v>1300</v>
      </c>
      <c r="AF1145" s="31"/>
      <c r="AG1145" s="31"/>
    </row>
    <row r="1146" spans="1:33" s="1" customFormat="1" ht="18.75" customHeight="1">
      <c r="A1146" s="24" t="s">
        <v>1663</v>
      </c>
      <c r="B1146" s="25" t="s">
        <v>1664</v>
      </c>
      <c r="C1146" s="25"/>
      <c r="D1146" s="25"/>
      <c r="E1146" s="26" t="s">
        <v>1665</v>
      </c>
      <c r="F1146" s="26"/>
      <c r="G1146" s="26"/>
      <c r="H1146" s="26"/>
      <c r="I1146" s="26"/>
      <c r="J1146" s="27" t="s">
        <v>2057</v>
      </c>
      <c r="K1146" s="27"/>
      <c r="L1146" s="27"/>
      <c r="M1146" s="27"/>
      <c r="N1146" s="28">
        <f>0.02</f>
        <v>0.02</v>
      </c>
      <c r="O1146" s="28"/>
      <c r="P1146" s="28"/>
      <c r="Q1146" s="27" t="s">
        <v>2032</v>
      </c>
      <c r="R1146" s="27"/>
      <c r="S1146" s="29" t="s">
        <v>2032</v>
      </c>
      <c r="T1146" s="29"/>
      <c r="U1146" s="29"/>
      <c r="V1146" s="29"/>
      <c r="W1146" s="30" t="s">
        <v>2032</v>
      </c>
      <c r="X1146" s="29" t="s">
        <v>2032</v>
      </c>
      <c r="Y1146" s="29"/>
      <c r="Z1146" s="29"/>
      <c r="AA1146" s="29"/>
      <c r="AB1146" s="27" t="s">
        <v>2057</v>
      </c>
      <c r="AC1146" s="27"/>
      <c r="AD1146" s="27"/>
      <c r="AE1146" s="31">
        <f>0.02</f>
        <v>0.02</v>
      </c>
      <c r="AF1146" s="31"/>
      <c r="AG1146" s="31"/>
    </row>
    <row r="1147" spans="1:33" s="1" customFormat="1" ht="18.75" customHeight="1">
      <c r="A1147" s="24" t="s">
        <v>1666</v>
      </c>
      <c r="B1147" s="25" t="s">
        <v>1667</v>
      </c>
      <c r="C1147" s="25"/>
      <c r="D1147" s="25"/>
      <c r="E1147" s="26" t="s">
        <v>1668</v>
      </c>
      <c r="F1147" s="26"/>
      <c r="G1147" s="26"/>
      <c r="H1147" s="26"/>
      <c r="I1147" s="26"/>
      <c r="J1147" s="27" t="s">
        <v>2057</v>
      </c>
      <c r="K1147" s="27"/>
      <c r="L1147" s="27"/>
      <c r="M1147" s="27"/>
      <c r="N1147" s="28">
        <f>146.12</f>
        <v>146.12</v>
      </c>
      <c r="O1147" s="28"/>
      <c r="P1147" s="28"/>
      <c r="Q1147" s="27" t="s">
        <v>2032</v>
      </c>
      <c r="R1147" s="27"/>
      <c r="S1147" s="29" t="s">
        <v>2032</v>
      </c>
      <c r="T1147" s="29"/>
      <c r="U1147" s="29"/>
      <c r="V1147" s="29"/>
      <c r="W1147" s="30" t="s">
        <v>2032</v>
      </c>
      <c r="X1147" s="29" t="s">
        <v>2032</v>
      </c>
      <c r="Y1147" s="29"/>
      <c r="Z1147" s="29"/>
      <c r="AA1147" s="29"/>
      <c r="AB1147" s="27" t="s">
        <v>2057</v>
      </c>
      <c r="AC1147" s="27"/>
      <c r="AD1147" s="27"/>
      <c r="AE1147" s="31">
        <f>146.12</f>
        <v>146.12</v>
      </c>
      <c r="AF1147" s="31"/>
      <c r="AG1147" s="31"/>
    </row>
    <row r="1148" spans="1:33" s="1" customFormat="1" ht="33" customHeight="1">
      <c r="A1148" s="24" t="s">
        <v>1669</v>
      </c>
      <c r="B1148" s="25" t="s">
        <v>1670</v>
      </c>
      <c r="C1148" s="25"/>
      <c r="D1148" s="25"/>
      <c r="E1148" s="26" t="s">
        <v>1671</v>
      </c>
      <c r="F1148" s="26"/>
      <c r="G1148" s="26"/>
      <c r="H1148" s="26"/>
      <c r="I1148" s="26"/>
      <c r="J1148" s="27" t="s">
        <v>2056</v>
      </c>
      <c r="K1148" s="27"/>
      <c r="L1148" s="27"/>
      <c r="M1148" s="27"/>
      <c r="N1148" s="28">
        <f>325</f>
        <v>325</v>
      </c>
      <c r="O1148" s="28"/>
      <c r="P1148" s="28"/>
      <c r="Q1148" s="27" t="s">
        <v>2032</v>
      </c>
      <c r="R1148" s="27"/>
      <c r="S1148" s="29" t="s">
        <v>2032</v>
      </c>
      <c r="T1148" s="29"/>
      <c r="U1148" s="29"/>
      <c r="V1148" s="29"/>
      <c r="W1148" s="30" t="s">
        <v>2032</v>
      </c>
      <c r="X1148" s="29" t="s">
        <v>2032</v>
      </c>
      <c r="Y1148" s="29"/>
      <c r="Z1148" s="29"/>
      <c r="AA1148" s="29"/>
      <c r="AB1148" s="27" t="s">
        <v>2056</v>
      </c>
      <c r="AC1148" s="27"/>
      <c r="AD1148" s="27"/>
      <c r="AE1148" s="31">
        <f>325</f>
        <v>325</v>
      </c>
      <c r="AF1148" s="31"/>
      <c r="AG1148" s="31"/>
    </row>
    <row r="1149" spans="1:33" s="1" customFormat="1" ht="18.75" customHeight="1">
      <c r="A1149" s="24" t="s">
        <v>1672</v>
      </c>
      <c r="B1149" s="25" t="s">
        <v>1673</v>
      </c>
      <c r="C1149" s="25"/>
      <c r="D1149" s="25"/>
      <c r="E1149" s="26" t="s">
        <v>1674</v>
      </c>
      <c r="F1149" s="26"/>
      <c r="G1149" s="26"/>
      <c r="H1149" s="26"/>
      <c r="I1149" s="26"/>
      <c r="J1149" s="27" t="s">
        <v>2059</v>
      </c>
      <c r="K1149" s="27"/>
      <c r="L1149" s="27"/>
      <c r="M1149" s="27"/>
      <c r="N1149" s="28">
        <f>292.24</f>
        <v>292.24</v>
      </c>
      <c r="O1149" s="28"/>
      <c r="P1149" s="28"/>
      <c r="Q1149" s="27" t="s">
        <v>2032</v>
      </c>
      <c r="R1149" s="27"/>
      <c r="S1149" s="29" t="s">
        <v>2032</v>
      </c>
      <c r="T1149" s="29"/>
      <c r="U1149" s="29"/>
      <c r="V1149" s="29"/>
      <c r="W1149" s="30" t="s">
        <v>2032</v>
      </c>
      <c r="X1149" s="29" t="s">
        <v>2032</v>
      </c>
      <c r="Y1149" s="29"/>
      <c r="Z1149" s="29"/>
      <c r="AA1149" s="29"/>
      <c r="AB1149" s="27" t="s">
        <v>2059</v>
      </c>
      <c r="AC1149" s="27"/>
      <c r="AD1149" s="27"/>
      <c r="AE1149" s="31">
        <f>292.24</f>
        <v>292.24</v>
      </c>
      <c r="AF1149" s="31"/>
      <c r="AG1149" s="31"/>
    </row>
    <row r="1150" spans="1:33" s="1" customFormat="1" ht="18.75" customHeight="1">
      <c r="A1150" s="24" t="s">
        <v>1675</v>
      </c>
      <c r="B1150" s="25" t="s">
        <v>1676</v>
      </c>
      <c r="C1150" s="25"/>
      <c r="D1150" s="25"/>
      <c r="E1150" s="26" t="s">
        <v>1677</v>
      </c>
      <c r="F1150" s="26"/>
      <c r="G1150" s="26"/>
      <c r="H1150" s="26"/>
      <c r="I1150" s="26"/>
      <c r="J1150" s="27" t="s">
        <v>2056</v>
      </c>
      <c r="K1150" s="27"/>
      <c r="L1150" s="27"/>
      <c r="M1150" s="27"/>
      <c r="N1150" s="28">
        <f>511.45</f>
        <v>511.45</v>
      </c>
      <c r="O1150" s="28"/>
      <c r="P1150" s="28"/>
      <c r="Q1150" s="27" t="s">
        <v>2032</v>
      </c>
      <c r="R1150" s="27"/>
      <c r="S1150" s="29" t="s">
        <v>2032</v>
      </c>
      <c r="T1150" s="29"/>
      <c r="U1150" s="29"/>
      <c r="V1150" s="29"/>
      <c r="W1150" s="30" t="s">
        <v>2032</v>
      </c>
      <c r="X1150" s="29" t="s">
        <v>2032</v>
      </c>
      <c r="Y1150" s="29"/>
      <c r="Z1150" s="29"/>
      <c r="AA1150" s="29"/>
      <c r="AB1150" s="27" t="s">
        <v>2056</v>
      </c>
      <c r="AC1150" s="27"/>
      <c r="AD1150" s="27"/>
      <c r="AE1150" s="31">
        <f>511.45</f>
        <v>511.45</v>
      </c>
      <c r="AF1150" s="31"/>
      <c r="AG1150" s="31"/>
    </row>
    <row r="1151" spans="1:33" s="1" customFormat="1" ht="18.75" customHeight="1">
      <c r="A1151" s="24" t="s">
        <v>1678</v>
      </c>
      <c r="B1151" s="25" t="s">
        <v>2600</v>
      </c>
      <c r="C1151" s="25"/>
      <c r="D1151" s="25"/>
      <c r="E1151" s="26" t="s">
        <v>1679</v>
      </c>
      <c r="F1151" s="26"/>
      <c r="G1151" s="26"/>
      <c r="H1151" s="26"/>
      <c r="I1151" s="26"/>
      <c r="J1151" s="27" t="s">
        <v>2056</v>
      </c>
      <c r="K1151" s="27"/>
      <c r="L1151" s="27"/>
      <c r="M1151" s="27"/>
      <c r="N1151" s="28">
        <f>240</f>
        <v>240</v>
      </c>
      <c r="O1151" s="28"/>
      <c r="P1151" s="28"/>
      <c r="Q1151" s="27" t="s">
        <v>2032</v>
      </c>
      <c r="R1151" s="27"/>
      <c r="S1151" s="29" t="s">
        <v>2032</v>
      </c>
      <c r="T1151" s="29"/>
      <c r="U1151" s="29"/>
      <c r="V1151" s="29"/>
      <c r="W1151" s="30" t="s">
        <v>2032</v>
      </c>
      <c r="X1151" s="29" t="s">
        <v>2032</v>
      </c>
      <c r="Y1151" s="29"/>
      <c r="Z1151" s="29"/>
      <c r="AA1151" s="29"/>
      <c r="AB1151" s="27" t="s">
        <v>2056</v>
      </c>
      <c r="AC1151" s="27"/>
      <c r="AD1151" s="27"/>
      <c r="AE1151" s="31">
        <f>240</f>
        <v>240</v>
      </c>
      <c r="AF1151" s="31"/>
      <c r="AG1151" s="31"/>
    </row>
    <row r="1152" spans="1:33" s="1" customFormat="1" ht="18.75" customHeight="1">
      <c r="A1152" s="24" t="s">
        <v>1680</v>
      </c>
      <c r="B1152" s="25" t="s">
        <v>1681</v>
      </c>
      <c r="C1152" s="25"/>
      <c r="D1152" s="25"/>
      <c r="E1152" s="26" t="s">
        <v>1682</v>
      </c>
      <c r="F1152" s="26"/>
      <c r="G1152" s="26"/>
      <c r="H1152" s="26"/>
      <c r="I1152" s="26"/>
      <c r="J1152" s="27" t="s">
        <v>2056</v>
      </c>
      <c r="K1152" s="27"/>
      <c r="L1152" s="27"/>
      <c r="M1152" s="27"/>
      <c r="N1152" s="28">
        <f>250</f>
        <v>250</v>
      </c>
      <c r="O1152" s="28"/>
      <c r="P1152" s="28"/>
      <c r="Q1152" s="27" t="s">
        <v>2032</v>
      </c>
      <c r="R1152" s="27"/>
      <c r="S1152" s="29" t="s">
        <v>2032</v>
      </c>
      <c r="T1152" s="29"/>
      <c r="U1152" s="29"/>
      <c r="V1152" s="29"/>
      <c r="W1152" s="30" t="s">
        <v>2032</v>
      </c>
      <c r="X1152" s="29" t="s">
        <v>2032</v>
      </c>
      <c r="Y1152" s="29"/>
      <c r="Z1152" s="29"/>
      <c r="AA1152" s="29"/>
      <c r="AB1152" s="27" t="s">
        <v>2056</v>
      </c>
      <c r="AC1152" s="27"/>
      <c r="AD1152" s="27"/>
      <c r="AE1152" s="31">
        <f>250</f>
        <v>250</v>
      </c>
      <c r="AF1152" s="31"/>
      <c r="AG1152" s="31"/>
    </row>
    <row r="1153" spans="1:33" s="1" customFormat="1" ht="18.75" customHeight="1">
      <c r="A1153" s="24" t="s">
        <v>1683</v>
      </c>
      <c r="B1153" s="25" t="s">
        <v>1684</v>
      </c>
      <c r="C1153" s="25"/>
      <c r="D1153" s="25"/>
      <c r="E1153" s="26" t="s">
        <v>1685</v>
      </c>
      <c r="F1153" s="26"/>
      <c r="G1153" s="26"/>
      <c r="H1153" s="26"/>
      <c r="I1153" s="26"/>
      <c r="J1153" s="27" t="s">
        <v>2056</v>
      </c>
      <c r="K1153" s="27"/>
      <c r="L1153" s="27"/>
      <c r="M1153" s="27"/>
      <c r="N1153" s="28">
        <f>373.75</f>
        <v>373.75</v>
      </c>
      <c r="O1153" s="28"/>
      <c r="P1153" s="28"/>
      <c r="Q1153" s="27" t="s">
        <v>2032</v>
      </c>
      <c r="R1153" s="27"/>
      <c r="S1153" s="29" t="s">
        <v>2032</v>
      </c>
      <c r="T1153" s="29"/>
      <c r="U1153" s="29"/>
      <c r="V1153" s="29"/>
      <c r="W1153" s="30" t="s">
        <v>2032</v>
      </c>
      <c r="X1153" s="29" t="s">
        <v>2032</v>
      </c>
      <c r="Y1153" s="29"/>
      <c r="Z1153" s="29"/>
      <c r="AA1153" s="29"/>
      <c r="AB1153" s="27" t="s">
        <v>2056</v>
      </c>
      <c r="AC1153" s="27"/>
      <c r="AD1153" s="27"/>
      <c r="AE1153" s="31">
        <f>373.75</f>
        <v>373.75</v>
      </c>
      <c r="AF1153" s="31"/>
      <c r="AG1153" s="31"/>
    </row>
    <row r="1154" spans="1:33" s="1" customFormat="1" ht="18.75" customHeight="1">
      <c r="A1154" s="24" t="s">
        <v>1686</v>
      </c>
      <c r="B1154" s="25" t="s">
        <v>1687</v>
      </c>
      <c r="C1154" s="25"/>
      <c r="D1154" s="25"/>
      <c r="E1154" s="26" t="s">
        <v>1688</v>
      </c>
      <c r="F1154" s="26"/>
      <c r="G1154" s="26"/>
      <c r="H1154" s="26"/>
      <c r="I1154" s="26"/>
      <c r="J1154" s="27" t="s">
        <v>2056</v>
      </c>
      <c r="K1154" s="27"/>
      <c r="L1154" s="27"/>
      <c r="M1154" s="27"/>
      <c r="N1154" s="28">
        <f>300</f>
        <v>300</v>
      </c>
      <c r="O1154" s="28"/>
      <c r="P1154" s="28"/>
      <c r="Q1154" s="27" t="s">
        <v>2032</v>
      </c>
      <c r="R1154" s="27"/>
      <c r="S1154" s="29" t="s">
        <v>2032</v>
      </c>
      <c r="T1154" s="29"/>
      <c r="U1154" s="29"/>
      <c r="V1154" s="29"/>
      <c r="W1154" s="30" t="s">
        <v>2032</v>
      </c>
      <c r="X1154" s="29" t="s">
        <v>2032</v>
      </c>
      <c r="Y1154" s="29"/>
      <c r="Z1154" s="29"/>
      <c r="AA1154" s="29"/>
      <c r="AB1154" s="27" t="s">
        <v>2056</v>
      </c>
      <c r="AC1154" s="27"/>
      <c r="AD1154" s="27"/>
      <c r="AE1154" s="31">
        <f>300</f>
        <v>300</v>
      </c>
      <c r="AF1154" s="31"/>
      <c r="AG1154" s="31"/>
    </row>
    <row r="1155" spans="1:33" s="1" customFormat="1" ht="18.75" customHeight="1">
      <c r="A1155" s="24" t="s">
        <v>1689</v>
      </c>
      <c r="B1155" s="25" t="s">
        <v>1690</v>
      </c>
      <c r="C1155" s="25"/>
      <c r="D1155" s="25"/>
      <c r="E1155" s="26" t="s">
        <v>1691</v>
      </c>
      <c r="F1155" s="26"/>
      <c r="G1155" s="26"/>
      <c r="H1155" s="26"/>
      <c r="I1155" s="26"/>
      <c r="J1155" s="27" t="s">
        <v>2056</v>
      </c>
      <c r="K1155" s="27"/>
      <c r="L1155" s="27"/>
      <c r="M1155" s="27"/>
      <c r="N1155" s="28">
        <f>695</f>
        <v>695</v>
      </c>
      <c r="O1155" s="28"/>
      <c r="P1155" s="28"/>
      <c r="Q1155" s="27" t="s">
        <v>2032</v>
      </c>
      <c r="R1155" s="27"/>
      <c r="S1155" s="29" t="s">
        <v>2032</v>
      </c>
      <c r="T1155" s="29"/>
      <c r="U1155" s="29"/>
      <c r="V1155" s="29"/>
      <c r="W1155" s="30" t="s">
        <v>2032</v>
      </c>
      <c r="X1155" s="29" t="s">
        <v>2032</v>
      </c>
      <c r="Y1155" s="29"/>
      <c r="Z1155" s="29"/>
      <c r="AA1155" s="29"/>
      <c r="AB1155" s="27" t="s">
        <v>2056</v>
      </c>
      <c r="AC1155" s="27"/>
      <c r="AD1155" s="27"/>
      <c r="AE1155" s="31">
        <f>695</f>
        <v>695</v>
      </c>
      <c r="AF1155" s="31"/>
      <c r="AG1155" s="31"/>
    </row>
    <row r="1156" spans="1:33" s="1" customFormat="1" ht="18.75" customHeight="1">
      <c r="A1156" s="24" t="s">
        <v>1692</v>
      </c>
      <c r="B1156" s="25" t="s">
        <v>1693</v>
      </c>
      <c r="C1156" s="25"/>
      <c r="D1156" s="25"/>
      <c r="E1156" s="26" t="s">
        <v>1694</v>
      </c>
      <c r="F1156" s="26"/>
      <c r="G1156" s="26"/>
      <c r="H1156" s="26"/>
      <c r="I1156" s="26"/>
      <c r="J1156" s="27" t="s">
        <v>2056</v>
      </c>
      <c r="K1156" s="27"/>
      <c r="L1156" s="27"/>
      <c r="M1156" s="27"/>
      <c r="N1156" s="28">
        <f>73.06</f>
        <v>73.06</v>
      </c>
      <c r="O1156" s="28"/>
      <c r="P1156" s="28"/>
      <c r="Q1156" s="27" t="s">
        <v>2032</v>
      </c>
      <c r="R1156" s="27"/>
      <c r="S1156" s="29" t="s">
        <v>2032</v>
      </c>
      <c r="T1156" s="29"/>
      <c r="U1156" s="29"/>
      <c r="V1156" s="29"/>
      <c r="W1156" s="30" t="s">
        <v>2032</v>
      </c>
      <c r="X1156" s="29" t="s">
        <v>2032</v>
      </c>
      <c r="Y1156" s="29"/>
      <c r="Z1156" s="29"/>
      <c r="AA1156" s="29"/>
      <c r="AB1156" s="27" t="s">
        <v>2056</v>
      </c>
      <c r="AC1156" s="27"/>
      <c r="AD1156" s="27"/>
      <c r="AE1156" s="31">
        <f>73.06</f>
        <v>73.06</v>
      </c>
      <c r="AF1156" s="31"/>
      <c r="AG1156" s="31"/>
    </row>
    <row r="1157" spans="1:33" s="1" customFormat="1" ht="33" customHeight="1">
      <c r="A1157" s="24" t="s">
        <v>1695</v>
      </c>
      <c r="B1157" s="25" t="s">
        <v>1696</v>
      </c>
      <c r="C1157" s="25"/>
      <c r="D1157" s="25"/>
      <c r="E1157" s="26" t="s">
        <v>1697</v>
      </c>
      <c r="F1157" s="26"/>
      <c r="G1157" s="26"/>
      <c r="H1157" s="26"/>
      <c r="I1157" s="26"/>
      <c r="J1157" s="27" t="s">
        <v>2093</v>
      </c>
      <c r="K1157" s="27"/>
      <c r="L1157" s="27"/>
      <c r="M1157" s="27"/>
      <c r="N1157" s="28">
        <f>3469.2</f>
        <v>3469.2</v>
      </c>
      <c r="O1157" s="28"/>
      <c r="P1157" s="28"/>
      <c r="Q1157" s="27" t="s">
        <v>2032</v>
      </c>
      <c r="R1157" s="27"/>
      <c r="S1157" s="29" t="s">
        <v>2032</v>
      </c>
      <c r="T1157" s="29"/>
      <c r="U1157" s="29"/>
      <c r="V1157" s="29"/>
      <c r="W1157" s="30" t="s">
        <v>2032</v>
      </c>
      <c r="X1157" s="29" t="s">
        <v>2032</v>
      </c>
      <c r="Y1157" s="29"/>
      <c r="Z1157" s="29"/>
      <c r="AA1157" s="29"/>
      <c r="AB1157" s="27" t="s">
        <v>2093</v>
      </c>
      <c r="AC1157" s="27"/>
      <c r="AD1157" s="27"/>
      <c r="AE1157" s="31">
        <f>3469.2</f>
        <v>3469.2</v>
      </c>
      <c r="AF1157" s="31"/>
      <c r="AG1157" s="31"/>
    </row>
    <row r="1158" spans="1:33" s="1" customFormat="1" ht="18.75" customHeight="1">
      <c r="A1158" s="24" t="s">
        <v>1698</v>
      </c>
      <c r="B1158" s="25" t="s">
        <v>1699</v>
      </c>
      <c r="C1158" s="25"/>
      <c r="D1158" s="25"/>
      <c r="E1158" s="26" t="s">
        <v>1700</v>
      </c>
      <c r="F1158" s="26"/>
      <c r="G1158" s="26"/>
      <c r="H1158" s="26"/>
      <c r="I1158" s="26"/>
      <c r="J1158" s="27" t="s">
        <v>2108</v>
      </c>
      <c r="K1158" s="27"/>
      <c r="L1158" s="27"/>
      <c r="M1158" s="27"/>
      <c r="N1158" s="28">
        <f>500</f>
        <v>500</v>
      </c>
      <c r="O1158" s="28"/>
      <c r="P1158" s="28"/>
      <c r="Q1158" s="27" t="s">
        <v>2032</v>
      </c>
      <c r="R1158" s="27"/>
      <c r="S1158" s="29" t="s">
        <v>2032</v>
      </c>
      <c r="T1158" s="29"/>
      <c r="U1158" s="29"/>
      <c r="V1158" s="29"/>
      <c r="W1158" s="30" t="s">
        <v>2032</v>
      </c>
      <c r="X1158" s="29" t="s">
        <v>2032</v>
      </c>
      <c r="Y1158" s="29"/>
      <c r="Z1158" s="29"/>
      <c r="AA1158" s="29"/>
      <c r="AB1158" s="27" t="s">
        <v>2108</v>
      </c>
      <c r="AC1158" s="27"/>
      <c r="AD1158" s="27"/>
      <c r="AE1158" s="31">
        <f>500</f>
        <v>500</v>
      </c>
      <c r="AF1158" s="31"/>
      <c r="AG1158" s="31"/>
    </row>
    <row r="1159" spans="1:33" s="1" customFormat="1" ht="18.75" customHeight="1">
      <c r="A1159" s="24" t="s">
        <v>1701</v>
      </c>
      <c r="B1159" s="25" t="s">
        <v>2525</v>
      </c>
      <c r="C1159" s="25"/>
      <c r="D1159" s="25"/>
      <c r="E1159" s="26" t="s">
        <v>1702</v>
      </c>
      <c r="F1159" s="26"/>
      <c r="G1159" s="26"/>
      <c r="H1159" s="26"/>
      <c r="I1159" s="26"/>
      <c r="J1159" s="27" t="s">
        <v>2065</v>
      </c>
      <c r="K1159" s="27"/>
      <c r="L1159" s="27"/>
      <c r="M1159" s="27"/>
      <c r="N1159" s="28">
        <f>270.54</f>
        <v>270.54</v>
      </c>
      <c r="O1159" s="28"/>
      <c r="P1159" s="28"/>
      <c r="Q1159" s="27" t="s">
        <v>2032</v>
      </c>
      <c r="R1159" s="27"/>
      <c r="S1159" s="29" t="s">
        <v>2032</v>
      </c>
      <c r="T1159" s="29"/>
      <c r="U1159" s="29"/>
      <c r="V1159" s="29"/>
      <c r="W1159" s="30" t="s">
        <v>2032</v>
      </c>
      <c r="X1159" s="29" t="s">
        <v>2032</v>
      </c>
      <c r="Y1159" s="29"/>
      <c r="Z1159" s="29"/>
      <c r="AA1159" s="29"/>
      <c r="AB1159" s="27" t="s">
        <v>2065</v>
      </c>
      <c r="AC1159" s="27"/>
      <c r="AD1159" s="27"/>
      <c r="AE1159" s="31">
        <f>270.54</f>
        <v>270.54</v>
      </c>
      <c r="AF1159" s="31"/>
      <c r="AG1159" s="31"/>
    </row>
    <row r="1160" spans="1:33" s="1" customFormat="1" ht="33" customHeight="1">
      <c r="A1160" s="24" t="s">
        <v>1703</v>
      </c>
      <c r="B1160" s="25" t="s">
        <v>1704</v>
      </c>
      <c r="C1160" s="25"/>
      <c r="D1160" s="25"/>
      <c r="E1160" s="26" t="s">
        <v>1705</v>
      </c>
      <c r="F1160" s="26"/>
      <c r="G1160" s="26"/>
      <c r="H1160" s="26"/>
      <c r="I1160" s="26"/>
      <c r="J1160" s="27" t="s">
        <v>2056</v>
      </c>
      <c r="K1160" s="27"/>
      <c r="L1160" s="27"/>
      <c r="M1160" s="27"/>
      <c r="N1160" s="28">
        <f>73.06</f>
        <v>73.06</v>
      </c>
      <c r="O1160" s="28"/>
      <c r="P1160" s="28"/>
      <c r="Q1160" s="27" t="s">
        <v>2032</v>
      </c>
      <c r="R1160" s="27"/>
      <c r="S1160" s="29" t="s">
        <v>2032</v>
      </c>
      <c r="T1160" s="29"/>
      <c r="U1160" s="29"/>
      <c r="V1160" s="29"/>
      <c r="W1160" s="30" t="s">
        <v>2032</v>
      </c>
      <c r="X1160" s="29" t="s">
        <v>2032</v>
      </c>
      <c r="Y1160" s="29"/>
      <c r="Z1160" s="29"/>
      <c r="AA1160" s="29"/>
      <c r="AB1160" s="27" t="s">
        <v>2056</v>
      </c>
      <c r="AC1160" s="27"/>
      <c r="AD1160" s="27"/>
      <c r="AE1160" s="31">
        <f>73.06</f>
        <v>73.06</v>
      </c>
      <c r="AF1160" s="31"/>
      <c r="AG1160" s="31"/>
    </row>
    <row r="1161" spans="1:33" s="1" customFormat="1" ht="18.75" customHeight="1">
      <c r="A1161" s="24" t="s">
        <v>1706</v>
      </c>
      <c r="B1161" s="25" t="s">
        <v>1707</v>
      </c>
      <c r="C1161" s="25"/>
      <c r="D1161" s="25"/>
      <c r="E1161" s="26" t="s">
        <v>1708</v>
      </c>
      <c r="F1161" s="26"/>
      <c r="G1161" s="26"/>
      <c r="H1161" s="26"/>
      <c r="I1161" s="26"/>
      <c r="J1161" s="27" t="s">
        <v>2056</v>
      </c>
      <c r="K1161" s="27"/>
      <c r="L1161" s="27"/>
      <c r="M1161" s="27"/>
      <c r="N1161" s="28">
        <f>73.06</f>
        <v>73.06</v>
      </c>
      <c r="O1161" s="28"/>
      <c r="P1161" s="28"/>
      <c r="Q1161" s="27" t="s">
        <v>2032</v>
      </c>
      <c r="R1161" s="27"/>
      <c r="S1161" s="29" t="s">
        <v>2032</v>
      </c>
      <c r="T1161" s="29"/>
      <c r="U1161" s="29"/>
      <c r="V1161" s="29"/>
      <c r="W1161" s="30" t="s">
        <v>2032</v>
      </c>
      <c r="X1161" s="29" t="s">
        <v>2032</v>
      </c>
      <c r="Y1161" s="29"/>
      <c r="Z1161" s="29"/>
      <c r="AA1161" s="29"/>
      <c r="AB1161" s="27" t="s">
        <v>2056</v>
      </c>
      <c r="AC1161" s="27"/>
      <c r="AD1161" s="27"/>
      <c r="AE1161" s="31">
        <f>73.06</f>
        <v>73.06</v>
      </c>
      <c r="AF1161" s="31"/>
      <c r="AG1161" s="31"/>
    </row>
    <row r="1162" spans="1:33" s="1" customFormat="1" ht="18.75" customHeight="1">
      <c r="A1162" s="24" t="s">
        <v>1709</v>
      </c>
      <c r="B1162" s="25" t="s">
        <v>1710</v>
      </c>
      <c r="C1162" s="25"/>
      <c r="D1162" s="25"/>
      <c r="E1162" s="26" t="s">
        <v>1711</v>
      </c>
      <c r="F1162" s="26"/>
      <c r="G1162" s="26"/>
      <c r="H1162" s="26"/>
      <c r="I1162" s="26"/>
      <c r="J1162" s="27" t="s">
        <v>2056</v>
      </c>
      <c r="K1162" s="27"/>
      <c r="L1162" s="27"/>
      <c r="M1162" s="27"/>
      <c r="N1162" s="28">
        <f>73.06</f>
        <v>73.06</v>
      </c>
      <c r="O1162" s="28"/>
      <c r="P1162" s="28"/>
      <c r="Q1162" s="27" t="s">
        <v>2032</v>
      </c>
      <c r="R1162" s="27"/>
      <c r="S1162" s="29" t="s">
        <v>2032</v>
      </c>
      <c r="T1162" s="29"/>
      <c r="U1162" s="29"/>
      <c r="V1162" s="29"/>
      <c r="W1162" s="30" t="s">
        <v>2032</v>
      </c>
      <c r="X1162" s="29" t="s">
        <v>2032</v>
      </c>
      <c r="Y1162" s="29"/>
      <c r="Z1162" s="29"/>
      <c r="AA1162" s="29"/>
      <c r="AB1162" s="27" t="s">
        <v>2056</v>
      </c>
      <c r="AC1162" s="27"/>
      <c r="AD1162" s="27"/>
      <c r="AE1162" s="31">
        <f>73.06</f>
        <v>73.06</v>
      </c>
      <c r="AF1162" s="31"/>
      <c r="AG1162" s="31"/>
    </row>
    <row r="1163" spans="1:33" s="1" customFormat="1" ht="33" customHeight="1">
      <c r="A1163" s="24" t="s">
        <v>1712</v>
      </c>
      <c r="B1163" s="25" t="s">
        <v>1713</v>
      </c>
      <c r="C1163" s="25"/>
      <c r="D1163" s="25"/>
      <c r="E1163" s="26" t="s">
        <v>1714</v>
      </c>
      <c r="F1163" s="26"/>
      <c r="G1163" s="26"/>
      <c r="H1163" s="26"/>
      <c r="I1163" s="26"/>
      <c r="J1163" s="27" t="s">
        <v>2056</v>
      </c>
      <c r="K1163" s="27"/>
      <c r="L1163" s="27"/>
      <c r="M1163" s="27"/>
      <c r="N1163" s="28">
        <f aca="true" t="shared" si="14" ref="N1163:N1172">1277.56</f>
        <v>1277.56</v>
      </c>
      <c r="O1163" s="28"/>
      <c r="P1163" s="28"/>
      <c r="Q1163" s="27" t="s">
        <v>2032</v>
      </c>
      <c r="R1163" s="27"/>
      <c r="S1163" s="29" t="s">
        <v>2032</v>
      </c>
      <c r="T1163" s="29"/>
      <c r="U1163" s="29"/>
      <c r="V1163" s="29"/>
      <c r="W1163" s="30" t="s">
        <v>2032</v>
      </c>
      <c r="X1163" s="29" t="s">
        <v>2032</v>
      </c>
      <c r="Y1163" s="29"/>
      <c r="Z1163" s="29"/>
      <c r="AA1163" s="29"/>
      <c r="AB1163" s="27" t="s">
        <v>2056</v>
      </c>
      <c r="AC1163" s="27"/>
      <c r="AD1163" s="27"/>
      <c r="AE1163" s="31">
        <f aca="true" t="shared" si="15" ref="AE1163:AE1172">1277.56</f>
        <v>1277.56</v>
      </c>
      <c r="AF1163" s="31"/>
      <c r="AG1163" s="31"/>
    </row>
    <row r="1164" spans="1:33" s="1" customFormat="1" ht="33" customHeight="1">
      <c r="A1164" s="24" t="s">
        <v>1715</v>
      </c>
      <c r="B1164" s="25" t="s">
        <v>1716</v>
      </c>
      <c r="C1164" s="25"/>
      <c r="D1164" s="25"/>
      <c r="E1164" s="26" t="s">
        <v>1717</v>
      </c>
      <c r="F1164" s="26"/>
      <c r="G1164" s="26"/>
      <c r="H1164" s="26"/>
      <c r="I1164" s="26"/>
      <c r="J1164" s="27" t="s">
        <v>2056</v>
      </c>
      <c r="K1164" s="27"/>
      <c r="L1164" s="27"/>
      <c r="M1164" s="27"/>
      <c r="N1164" s="28">
        <f t="shared" si="14"/>
        <v>1277.56</v>
      </c>
      <c r="O1164" s="28"/>
      <c r="P1164" s="28"/>
      <c r="Q1164" s="27" t="s">
        <v>2032</v>
      </c>
      <c r="R1164" s="27"/>
      <c r="S1164" s="29" t="s">
        <v>2032</v>
      </c>
      <c r="T1164" s="29"/>
      <c r="U1164" s="29"/>
      <c r="V1164" s="29"/>
      <c r="W1164" s="30" t="s">
        <v>2032</v>
      </c>
      <c r="X1164" s="29" t="s">
        <v>2032</v>
      </c>
      <c r="Y1164" s="29"/>
      <c r="Z1164" s="29"/>
      <c r="AA1164" s="29"/>
      <c r="AB1164" s="27" t="s">
        <v>2056</v>
      </c>
      <c r="AC1164" s="27"/>
      <c r="AD1164" s="27"/>
      <c r="AE1164" s="31">
        <f t="shared" si="15"/>
        <v>1277.56</v>
      </c>
      <c r="AF1164" s="31"/>
      <c r="AG1164" s="31"/>
    </row>
    <row r="1165" spans="1:33" s="1" customFormat="1" ht="33" customHeight="1">
      <c r="A1165" s="24" t="s">
        <v>1718</v>
      </c>
      <c r="B1165" s="25" t="s">
        <v>1719</v>
      </c>
      <c r="C1165" s="25"/>
      <c r="D1165" s="25"/>
      <c r="E1165" s="26" t="s">
        <v>1720</v>
      </c>
      <c r="F1165" s="26"/>
      <c r="G1165" s="26"/>
      <c r="H1165" s="26"/>
      <c r="I1165" s="26"/>
      <c r="J1165" s="27" t="s">
        <v>2056</v>
      </c>
      <c r="K1165" s="27"/>
      <c r="L1165" s="27"/>
      <c r="M1165" s="27"/>
      <c r="N1165" s="28">
        <f t="shared" si="14"/>
        <v>1277.56</v>
      </c>
      <c r="O1165" s="28"/>
      <c r="P1165" s="28"/>
      <c r="Q1165" s="27" t="s">
        <v>2032</v>
      </c>
      <c r="R1165" s="27"/>
      <c r="S1165" s="29" t="s">
        <v>2032</v>
      </c>
      <c r="T1165" s="29"/>
      <c r="U1165" s="29"/>
      <c r="V1165" s="29"/>
      <c r="W1165" s="30" t="s">
        <v>2032</v>
      </c>
      <c r="X1165" s="29" t="s">
        <v>2032</v>
      </c>
      <c r="Y1165" s="29"/>
      <c r="Z1165" s="29"/>
      <c r="AA1165" s="29"/>
      <c r="AB1165" s="27" t="s">
        <v>2056</v>
      </c>
      <c r="AC1165" s="27"/>
      <c r="AD1165" s="27"/>
      <c r="AE1165" s="31">
        <f t="shared" si="15"/>
        <v>1277.56</v>
      </c>
      <c r="AF1165" s="31"/>
      <c r="AG1165" s="31"/>
    </row>
    <row r="1166" spans="1:33" s="1" customFormat="1" ht="33" customHeight="1">
      <c r="A1166" s="24" t="s">
        <v>1721</v>
      </c>
      <c r="B1166" s="25" t="s">
        <v>1722</v>
      </c>
      <c r="C1166" s="25"/>
      <c r="D1166" s="25"/>
      <c r="E1166" s="26" t="s">
        <v>1720</v>
      </c>
      <c r="F1166" s="26"/>
      <c r="G1166" s="26"/>
      <c r="H1166" s="26"/>
      <c r="I1166" s="26"/>
      <c r="J1166" s="27" t="s">
        <v>2056</v>
      </c>
      <c r="K1166" s="27"/>
      <c r="L1166" s="27"/>
      <c r="M1166" s="27"/>
      <c r="N1166" s="28">
        <f t="shared" si="14"/>
        <v>1277.56</v>
      </c>
      <c r="O1166" s="28"/>
      <c r="P1166" s="28"/>
      <c r="Q1166" s="27" t="s">
        <v>2032</v>
      </c>
      <c r="R1166" s="27"/>
      <c r="S1166" s="29" t="s">
        <v>2032</v>
      </c>
      <c r="T1166" s="29"/>
      <c r="U1166" s="29"/>
      <c r="V1166" s="29"/>
      <c r="W1166" s="30" t="s">
        <v>2032</v>
      </c>
      <c r="X1166" s="29" t="s">
        <v>2032</v>
      </c>
      <c r="Y1166" s="29"/>
      <c r="Z1166" s="29"/>
      <c r="AA1166" s="29"/>
      <c r="AB1166" s="27" t="s">
        <v>2056</v>
      </c>
      <c r="AC1166" s="27"/>
      <c r="AD1166" s="27"/>
      <c r="AE1166" s="31">
        <f t="shared" si="15"/>
        <v>1277.56</v>
      </c>
      <c r="AF1166" s="31"/>
      <c r="AG1166" s="31"/>
    </row>
    <row r="1167" spans="1:33" s="1" customFormat="1" ht="33" customHeight="1">
      <c r="A1167" s="24" t="s">
        <v>1723</v>
      </c>
      <c r="B1167" s="25" t="s">
        <v>1724</v>
      </c>
      <c r="C1167" s="25"/>
      <c r="D1167" s="25"/>
      <c r="E1167" s="26" t="s">
        <v>1720</v>
      </c>
      <c r="F1167" s="26"/>
      <c r="G1167" s="26"/>
      <c r="H1167" s="26"/>
      <c r="I1167" s="26"/>
      <c r="J1167" s="27" t="s">
        <v>2056</v>
      </c>
      <c r="K1167" s="27"/>
      <c r="L1167" s="27"/>
      <c r="M1167" s="27"/>
      <c r="N1167" s="28">
        <f t="shared" si="14"/>
        <v>1277.56</v>
      </c>
      <c r="O1167" s="28"/>
      <c r="P1167" s="28"/>
      <c r="Q1167" s="27" t="s">
        <v>2032</v>
      </c>
      <c r="R1167" s="27"/>
      <c r="S1167" s="29" t="s">
        <v>2032</v>
      </c>
      <c r="T1167" s="29"/>
      <c r="U1167" s="29"/>
      <c r="V1167" s="29"/>
      <c r="W1167" s="30" t="s">
        <v>2032</v>
      </c>
      <c r="X1167" s="29" t="s">
        <v>2032</v>
      </c>
      <c r="Y1167" s="29"/>
      <c r="Z1167" s="29"/>
      <c r="AA1167" s="29"/>
      <c r="AB1167" s="27" t="s">
        <v>2056</v>
      </c>
      <c r="AC1167" s="27"/>
      <c r="AD1167" s="27"/>
      <c r="AE1167" s="31">
        <f t="shared" si="15"/>
        <v>1277.56</v>
      </c>
      <c r="AF1167" s="31"/>
      <c r="AG1167" s="31"/>
    </row>
    <row r="1168" spans="1:33" s="1" customFormat="1" ht="33" customHeight="1">
      <c r="A1168" s="24" t="s">
        <v>1725</v>
      </c>
      <c r="B1168" s="25" t="s">
        <v>1726</v>
      </c>
      <c r="C1168" s="25"/>
      <c r="D1168" s="25"/>
      <c r="E1168" s="26" t="s">
        <v>1720</v>
      </c>
      <c r="F1168" s="26"/>
      <c r="G1168" s="26"/>
      <c r="H1168" s="26"/>
      <c r="I1168" s="26"/>
      <c r="J1168" s="27" t="s">
        <v>2056</v>
      </c>
      <c r="K1168" s="27"/>
      <c r="L1168" s="27"/>
      <c r="M1168" s="27"/>
      <c r="N1168" s="28">
        <f t="shared" si="14"/>
        <v>1277.56</v>
      </c>
      <c r="O1168" s="28"/>
      <c r="P1168" s="28"/>
      <c r="Q1168" s="27" t="s">
        <v>2032</v>
      </c>
      <c r="R1168" s="27"/>
      <c r="S1168" s="29" t="s">
        <v>2032</v>
      </c>
      <c r="T1168" s="29"/>
      <c r="U1168" s="29"/>
      <c r="V1168" s="29"/>
      <c r="W1168" s="30" t="s">
        <v>2032</v>
      </c>
      <c r="X1168" s="29" t="s">
        <v>2032</v>
      </c>
      <c r="Y1168" s="29"/>
      <c r="Z1168" s="29"/>
      <c r="AA1168" s="29"/>
      <c r="AB1168" s="27" t="s">
        <v>2056</v>
      </c>
      <c r="AC1168" s="27"/>
      <c r="AD1168" s="27"/>
      <c r="AE1168" s="31">
        <f t="shared" si="15"/>
        <v>1277.56</v>
      </c>
      <c r="AF1168" s="31"/>
      <c r="AG1168" s="31"/>
    </row>
    <row r="1169" spans="1:33" s="1" customFormat="1" ht="33" customHeight="1">
      <c r="A1169" s="24" t="s">
        <v>1727</v>
      </c>
      <c r="B1169" s="25" t="s">
        <v>1728</v>
      </c>
      <c r="C1169" s="25"/>
      <c r="D1169" s="25"/>
      <c r="E1169" s="26" t="s">
        <v>1720</v>
      </c>
      <c r="F1169" s="26"/>
      <c r="G1169" s="26"/>
      <c r="H1169" s="26"/>
      <c r="I1169" s="26"/>
      <c r="J1169" s="27" t="s">
        <v>2056</v>
      </c>
      <c r="K1169" s="27"/>
      <c r="L1169" s="27"/>
      <c r="M1169" s="27"/>
      <c r="N1169" s="28">
        <f t="shared" si="14"/>
        <v>1277.56</v>
      </c>
      <c r="O1169" s="28"/>
      <c r="P1169" s="28"/>
      <c r="Q1169" s="27" t="s">
        <v>2032</v>
      </c>
      <c r="R1169" s="27"/>
      <c r="S1169" s="29" t="s">
        <v>2032</v>
      </c>
      <c r="T1169" s="29"/>
      <c r="U1169" s="29"/>
      <c r="V1169" s="29"/>
      <c r="W1169" s="30" t="s">
        <v>2032</v>
      </c>
      <c r="X1169" s="29" t="s">
        <v>2032</v>
      </c>
      <c r="Y1169" s="29"/>
      <c r="Z1169" s="29"/>
      <c r="AA1169" s="29"/>
      <c r="AB1169" s="27" t="s">
        <v>2056</v>
      </c>
      <c r="AC1169" s="27"/>
      <c r="AD1169" s="27"/>
      <c r="AE1169" s="31">
        <f t="shared" si="15"/>
        <v>1277.56</v>
      </c>
      <c r="AF1169" s="31"/>
      <c r="AG1169" s="31"/>
    </row>
    <row r="1170" spans="1:33" s="1" customFormat="1" ht="33" customHeight="1">
      <c r="A1170" s="24" t="s">
        <v>1729</v>
      </c>
      <c r="B1170" s="25" t="s">
        <v>1730</v>
      </c>
      <c r="C1170" s="25"/>
      <c r="D1170" s="25"/>
      <c r="E1170" s="26" t="s">
        <v>1720</v>
      </c>
      <c r="F1170" s="26"/>
      <c r="G1170" s="26"/>
      <c r="H1170" s="26"/>
      <c r="I1170" s="26"/>
      <c r="J1170" s="27" t="s">
        <v>2056</v>
      </c>
      <c r="K1170" s="27"/>
      <c r="L1170" s="27"/>
      <c r="M1170" s="27"/>
      <c r="N1170" s="28">
        <f t="shared" si="14"/>
        <v>1277.56</v>
      </c>
      <c r="O1170" s="28"/>
      <c r="P1170" s="28"/>
      <c r="Q1170" s="27" t="s">
        <v>2032</v>
      </c>
      <c r="R1170" s="27"/>
      <c r="S1170" s="29" t="s">
        <v>2032</v>
      </c>
      <c r="T1170" s="29"/>
      <c r="U1170" s="29"/>
      <c r="V1170" s="29"/>
      <c r="W1170" s="30" t="s">
        <v>2032</v>
      </c>
      <c r="X1170" s="29" t="s">
        <v>2032</v>
      </c>
      <c r="Y1170" s="29"/>
      <c r="Z1170" s="29"/>
      <c r="AA1170" s="29"/>
      <c r="AB1170" s="27" t="s">
        <v>2056</v>
      </c>
      <c r="AC1170" s="27"/>
      <c r="AD1170" s="27"/>
      <c r="AE1170" s="31">
        <f t="shared" si="15"/>
        <v>1277.56</v>
      </c>
      <c r="AF1170" s="31"/>
      <c r="AG1170" s="31"/>
    </row>
    <row r="1171" spans="1:33" s="1" customFormat="1" ht="33" customHeight="1">
      <c r="A1171" s="24" t="s">
        <v>1731</v>
      </c>
      <c r="B1171" s="25" t="s">
        <v>1732</v>
      </c>
      <c r="C1171" s="25"/>
      <c r="D1171" s="25"/>
      <c r="E1171" s="26" t="s">
        <v>1720</v>
      </c>
      <c r="F1171" s="26"/>
      <c r="G1171" s="26"/>
      <c r="H1171" s="26"/>
      <c r="I1171" s="26"/>
      <c r="J1171" s="27" t="s">
        <v>2056</v>
      </c>
      <c r="K1171" s="27"/>
      <c r="L1171" s="27"/>
      <c r="M1171" s="27"/>
      <c r="N1171" s="28">
        <f t="shared" si="14"/>
        <v>1277.56</v>
      </c>
      <c r="O1171" s="28"/>
      <c r="P1171" s="28"/>
      <c r="Q1171" s="27" t="s">
        <v>2032</v>
      </c>
      <c r="R1171" s="27"/>
      <c r="S1171" s="29" t="s">
        <v>2032</v>
      </c>
      <c r="T1171" s="29"/>
      <c r="U1171" s="29"/>
      <c r="V1171" s="29"/>
      <c r="W1171" s="30" t="s">
        <v>2032</v>
      </c>
      <c r="X1171" s="29" t="s">
        <v>2032</v>
      </c>
      <c r="Y1171" s="29"/>
      <c r="Z1171" s="29"/>
      <c r="AA1171" s="29"/>
      <c r="AB1171" s="27" t="s">
        <v>2056</v>
      </c>
      <c r="AC1171" s="27"/>
      <c r="AD1171" s="27"/>
      <c r="AE1171" s="31">
        <f t="shared" si="15"/>
        <v>1277.56</v>
      </c>
      <c r="AF1171" s="31"/>
      <c r="AG1171" s="31"/>
    </row>
    <row r="1172" spans="1:33" s="1" customFormat="1" ht="33" customHeight="1">
      <c r="A1172" s="24" t="s">
        <v>1733</v>
      </c>
      <c r="B1172" s="25" t="s">
        <v>1734</v>
      </c>
      <c r="C1172" s="25"/>
      <c r="D1172" s="25"/>
      <c r="E1172" s="26" t="s">
        <v>1720</v>
      </c>
      <c r="F1172" s="26"/>
      <c r="G1172" s="26"/>
      <c r="H1172" s="26"/>
      <c r="I1172" s="26"/>
      <c r="J1172" s="27" t="s">
        <v>2056</v>
      </c>
      <c r="K1172" s="27"/>
      <c r="L1172" s="27"/>
      <c r="M1172" s="27"/>
      <c r="N1172" s="28">
        <f t="shared" si="14"/>
        <v>1277.56</v>
      </c>
      <c r="O1172" s="28"/>
      <c r="P1172" s="28"/>
      <c r="Q1172" s="27" t="s">
        <v>2032</v>
      </c>
      <c r="R1172" s="27"/>
      <c r="S1172" s="29" t="s">
        <v>2032</v>
      </c>
      <c r="T1172" s="29"/>
      <c r="U1172" s="29"/>
      <c r="V1172" s="29"/>
      <c r="W1172" s="30" t="s">
        <v>2032</v>
      </c>
      <c r="X1172" s="29" t="s">
        <v>2032</v>
      </c>
      <c r="Y1172" s="29"/>
      <c r="Z1172" s="29"/>
      <c r="AA1172" s="29"/>
      <c r="AB1172" s="27" t="s">
        <v>2056</v>
      </c>
      <c r="AC1172" s="27"/>
      <c r="AD1172" s="27"/>
      <c r="AE1172" s="31">
        <f t="shared" si="15"/>
        <v>1277.56</v>
      </c>
      <c r="AF1172" s="31"/>
      <c r="AG1172" s="31"/>
    </row>
    <row r="1173" spans="1:33" s="1" customFormat="1" ht="18.75" customHeight="1">
      <c r="A1173" s="24" t="s">
        <v>1735</v>
      </c>
      <c r="B1173" s="25" t="s">
        <v>1736</v>
      </c>
      <c r="C1173" s="25"/>
      <c r="D1173" s="25"/>
      <c r="E1173" s="26" t="s">
        <v>1737</v>
      </c>
      <c r="F1173" s="26"/>
      <c r="G1173" s="26"/>
      <c r="H1173" s="26"/>
      <c r="I1173" s="26"/>
      <c r="J1173" s="27" t="s">
        <v>2056</v>
      </c>
      <c r="K1173" s="27"/>
      <c r="L1173" s="27"/>
      <c r="M1173" s="27"/>
      <c r="N1173" s="28">
        <f>381.5</f>
        <v>381.5</v>
      </c>
      <c r="O1173" s="28"/>
      <c r="P1173" s="28"/>
      <c r="Q1173" s="27" t="s">
        <v>2032</v>
      </c>
      <c r="R1173" s="27"/>
      <c r="S1173" s="29" t="s">
        <v>2032</v>
      </c>
      <c r="T1173" s="29"/>
      <c r="U1173" s="29"/>
      <c r="V1173" s="29"/>
      <c r="W1173" s="30" t="s">
        <v>2032</v>
      </c>
      <c r="X1173" s="29" t="s">
        <v>2032</v>
      </c>
      <c r="Y1173" s="29"/>
      <c r="Z1173" s="29"/>
      <c r="AA1173" s="29"/>
      <c r="AB1173" s="27" t="s">
        <v>2056</v>
      </c>
      <c r="AC1173" s="27"/>
      <c r="AD1173" s="27"/>
      <c r="AE1173" s="31">
        <f>381.5</f>
        <v>381.5</v>
      </c>
      <c r="AF1173" s="31"/>
      <c r="AG1173" s="31"/>
    </row>
    <row r="1174" spans="1:33" s="1" customFormat="1" ht="18.75" customHeight="1">
      <c r="A1174" s="24" t="s">
        <v>1738</v>
      </c>
      <c r="B1174" s="25" t="s">
        <v>1739</v>
      </c>
      <c r="C1174" s="25"/>
      <c r="D1174" s="25"/>
      <c r="E1174" s="26" t="s">
        <v>1740</v>
      </c>
      <c r="F1174" s="26"/>
      <c r="G1174" s="26"/>
      <c r="H1174" s="26"/>
      <c r="I1174" s="26"/>
      <c r="J1174" s="27" t="s">
        <v>2056</v>
      </c>
      <c r="K1174" s="27"/>
      <c r="L1174" s="27"/>
      <c r="M1174" s="27"/>
      <c r="N1174" s="28">
        <f>1339</f>
        <v>1339</v>
      </c>
      <c r="O1174" s="28"/>
      <c r="P1174" s="28"/>
      <c r="Q1174" s="27" t="s">
        <v>2032</v>
      </c>
      <c r="R1174" s="27"/>
      <c r="S1174" s="29" t="s">
        <v>2032</v>
      </c>
      <c r="T1174" s="29"/>
      <c r="U1174" s="29"/>
      <c r="V1174" s="29"/>
      <c r="W1174" s="30" t="s">
        <v>2032</v>
      </c>
      <c r="X1174" s="29" t="s">
        <v>2032</v>
      </c>
      <c r="Y1174" s="29"/>
      <c r="Z1174" s="29"/>
      <c r="AA1174" s="29"/>
      <c r="AB1174" s="27" t="s">
        <v>2056</v>
      </c>
      <c r="AC1174" s="27"/>
      <c r="AD1174" s="27"/>
      <c r="AE1174" s="31">
        <f>1339</f>
        <v>1339</v>
      </c>
      <c r="AF1174" s="31"/>
      <c r="AG1174" s="31"/>
    </row>
    <row r="1175" spans="1:33" s="1" customFormat="1" ht="33" customHeight="1">
      <c r="A1175" s="24" t="s">
        <v>1741</v>
      </c>
      <c r="B1175" s="25" t="s">
        <v>1742</v>
      </c>
      <c r="C1175" s="25"/>
      <c r="D1175" s="25"/>
      <c r="E1175" s="26" t="s">
        <v>1743</v>
      </c>
      <c r="F1175" s="26"/>
      <c r="G1175" s="26"/>
      <c r="H1175" s="26"/>
      <c r="I1175" s="26"/>
      <c r="J1175" s="27" t="s">
        <v>2056</v>
      </c>
      <c r="K1175" s="27"/>
      <c r="L1175" s="27"/>
      <c r="M1175" s="27"/>
      <c r="N1175" s="28">
        <f>325</f>
        <v>325</v>
      </c>
      <c r="O1175" s="28"/>
      <c r="P1175" s="28"/>
      <c r="Q1175" s="27" t="s">
        <v>2032</v>
      </c>
      <c r="R1175" s="27"/>
      <c r="S1175" s="29" t="s">
        <v>2032</v>
      </c>
      <c r="T1175" s="29"/>
      <c r="U1175" s="29"/>
      <c r="V1175" s="29"/>
      <c r="W1175" s="30" t="s">
        <v>2032</v>
      </c>
      <c r="X1175" s="29" t="s">
        <v>2032</v>
      </c>
      <c r="Y1175" s="29"/>
      <c r="Z1175" s="29"/>
      <c r="AA1175" s="29"/>
      <c r="AB1175" s="27" t="s">
        <v>2056</v>
      </c>
      <c r="AC1175" s="27"/>
      <c r="AD1175" s="27"/>
      <c r="AE1175" s="31">
        <f>325</f>
        <v>325</v>
      </c>
      <c r="AF1175" s="31"/>
      <c r="AG1175" s="31"/>
    </row>
    <row r="1176" spans="1:33" s="1" customFormat="1" ht="33" customHeight="1">
      <c r="A1176" s="24" t="s">
        <v>1744</v>
      </c>
      <c r="B1176" s="25" t="s">
        <v>1745</v>
      </c>
      <c r="C1176" s="25"/>
      <c r="D1176" s="25"/>
      <c r="E1176" s="26" t="s">
        <v>1746</v>
      </c>
      <c r="F1176" s="26"/>
      <c r="G1176" s="26"/>
      <c r="H1176" s="26"/>
      <c r="I1176" s="26"/>
      <c r="J1176" s="27" t="s">
        <v>2056</v>
      </c>
      <c r="K1176" s="27"/>
      <c r="L1176" s="27"/>
      <c r="M1176" s="27"/>
      <c r="N1176" s="28">
        <f>870</f>
        <v>870</v>
      </c>
      <c r="O1176" s="28"/>
      <c r="P1176" s="28"/>
      <c r="Q1176" s="27" t="s">
        <v>2032</v>
      </c>
      <c r="R1176" s="27"/>
      <c r="S1176" s="29" t="s">
        <v>2032</v>
      </c>
      <c r="T1176" s="29"/>
      <c r="U1176" s="29"/>
      <c r="V1176" s="29"/>
      <c r="W1176" s="30" t="s">
        <v>2032</v>
      </c>
      <c r="X1176" s="29" t="s">
        <v>2032</v>
      </c>
      <c r="Y1176" s="29"/>
      <c r="Z1176" s="29"/>
      <c r="AA1176" s="29"/>
      <c r="AB1176" s="27" t="s">
        <v>2056</v>
      </c>
      <c r="AC1176" s="27"/>
      <c r="AD1176" s="27"/>
      <c r="AE1176" s="31">
        <f>870</f>
        <v>870</v>
      </c>
      <c r="AF1176" s="31"/>
      <c r="AG1176" s="31"/>
    </row>
    <row r="1177" spans="1:33" s="1" customFormat="1" ht="18.75" customHeight="1">
      <c r="A1177" s="24" t="s">
        <v>1747</v>
      </c>
      <c r="B1177" s="25" t="s">
        <v>1748</v>
      </c>
      <c r="C1177" s="25"/>
      <c r="D1177" s="25"/>
      <c r="E1177" s="26" t="s">
        <v>1749</v>
      </c>
      <c r="F1177" s="26"/>
      <c r="G1177" s="26"/>
      <c r="H1177" s="26"/>
      <c r="I1177" s="26"/>
      <c r="J1177" s="27" t="s">
        <v>2056</v>
      </c>
      <c r="K1177" s="27"/>
      <c r="L1177" s="27"/>
      <c r="M1177" s="27"/>
      <c r="N1177" s="28">
        <f>2670</f>
        <v>2670</v>
      </c>
      <c r="O1177" s="28"/>
      <c r="P1177" s="28"/>
      <c r="Q1177" s="27" t="s">
        <v>2032</v>
      </c>
      <c r="R1177" s="27"/>
      <c r="S1177" s="29" t="s">
        <v>2032</v>
      </c>
      <c r="T1177" s="29"/>
      <c r="U1177" s="29"/>
      <c r="V1177" s="29"/>
      <c r="W1177" s="30" t="s">
        <v>2032</v>
      </c>
      <c r="X1177" s="29" t="s">
        <v>2032</v>
      </c>
      <c r="Y1177" s="29"/>
      <c r="Z1177" s="29"/>
      <c r="AA1177" s="29"/>
      <c r="AB1177" s="27" t="s">
        <v>2056</v>
      </c>
      <c r="AC1177" s="27"/>
      <c r="AD1177" s="27"/>
      <c r="AE1177" s="31">
        <f>2670</f>
        <v>2670</v>
      </c>
      <c r="AF1177" s="31"/>
      <c r="AG1177" s="31"/>
    </row>
    <row r="1178" spans="1:33" s="1" customFormat="1" ht="33" customHeight="1">
      <c r="A1178" s="24" t="s">
        <v>1750</v>
      </c>
      <c r="B1178" s="25" t="s">
        <v>1751</v>
      </c>
      <c r="C1178" s="25"/>
      <c r="D1178" s="25"/>
      <c r="E1178" s="26" t="s">
        <v>1752</v>
      </c>
      <c r="F1178" s="26"/>
      <c r="G1178" s="26"/>
      <c r="H1178" s="26"/>
      <c r="I1178" s="26"/>
      <c r="J1178" s="27" t="s">
        <v>2056</v>
      </c>
      <c r="K1178" s="27"/>
      <c r="L1178" s="27"/>
      <c r="M1178" s="27"/>
      <c r="N1178" s="28">
        <f>142.78</f>
        <v>142.78</v>
      </c>
      <c r="O1178" s="28"/>
      <c r="P1178" s="28"/>
      <c r="Q1178" s="27" t="s">
        <v>2032</v>
      </c>
      <c r="R1178" s="27"/>
      <c r="S1178" s="29" t="s">
        <v>2032</v>
      </c>
      <c r="T1178" s="29"/>
      <c r="U1178" s="29"/>
      <c r="V1178" s="29"/>
      <c r="W1178" s="30" t="s">
        <v>2032</v>
      </c>
      <c r="X1178" s="29" t="s">
        <v>2032</v>
      </c>
      <c r="Y1178" s="29"/>
      <c r="Z1178" s="29"/>
      <c r="AA1178" s="29"/>
      <c r="AB1178" s="27" t="s">
        <v>2056</v>
      </c>
      <c r="AC1178" s="27"/>
      <c r="AD1178" s="27"/>
      <c r="AE1178" s="31">
        <f>142.78</f>
        <v>142.78</v>
      </c>
      <c r="AF1178" s="31"/>
      <c r="AG1178" s="31"/>
    </row>
    <row r="1179" spans="1:33" s="1" customFormat="1" ht="18.75" customHeight="1">
      <c r="A1179" s="24" t="s">
        <v>1753</v>
      </c>
      <c r="B1179" s="25" t="s">
        <v>1754</v>
      </c>
      <c r="C1179" s="25"/>
      <c r="D1179" s="25"/>
      <c r="E1179" s="26" t="s">
        <v>1755</v>
      </c>
      <c r="F1179" s="26"/>
      <c r="G1179" s="26"/>
      <c r="H1179" s="26"/>
      <c r="I1179" s="26"/>
      <c r="J1179" s="27" t="s">
        <v>2056</v>
      </c>
      <c r="K1179" s="27"/>
      <c r="L1179" s="27"/>
      <c r="M1179" s="27"/>
      <c r="N1179" s="28">
        <f>73.06</f>
        <v>73.06</v>
      </c>
      <c r="O1179" s="28"/>
      <c r="P1179" s="28"/>
      <c r="Q1179" s="27" t="s">
        <v>2032</v>
      </c>
      <c r="R1179" s="27"/>
      <c r="S1179" s="29" t="s">
        <v>2032</v>
      </c>
      <c r="T1179" s="29"/>
      <c r="U1179" s="29"/>
      <c r="V1179" s="29"/>
      <c r="W1179" s="30" t="s">
        <v>2032</v>
      </c>
      <c r="X1179" s="29" t="s">
        <v>2032</v>
      </c>
      <c r="Y1179" s="29"/>
      <c r="Z1179" s="29"/>
      <c r="AA1179" s="29"/>
      <c r="AB1179" s="27" t="s">
        <v>2056</v>
      </c>
      <c r="AC1179" s="27"/>
      <c r="AD1179" s="27"/>
      <c r="AE1179" s="31">
        <f>73.06</f>
        <v>73.06</v>
      </c>
      <c r="AF1179" s="31"/>
      <c r="AG1179" s="31"/>
    </row>
    <row r="1180" spans="1:33" s="1" customFormat="1" ht="18.75" customHeight="1">
      <c r="A1180" s="24" t="s">
        <v>1756</v>
      </c>
      <c r="B1180" s="25" t="s">
        <v>1757</v>
      </c>
      <c r="C1180" s="25"/>
      <c r="D1180" s="25"/>
      <c r="E1180" s="26" t="s">
        <v>1758</v>
      </c>
      <c r="F1180" s="26"/>
      <c r="G1180" s="26"/>
      <c r="H1180" s="26"/>
      <c r="I1180" s="26"/>
      <c r="J1180" s="27" t="s">
        <v>2058</v>
      </c>
      <c r="K1180" s="27"/>
      <c r="L1180" s="27"/>
      <c r="M1180" s="27"/>
      <c r="N1180" s="28">
        <f>438.39</f>
        <v>438.39</v>
      </c>
      <c r="O1180" s="28"/>
      <c r="P1180" s="28"/>
      <c r="Q1180" s="27" t="s">
        <v>2032</v>
      </c>
      <c r="R1180" s="27"/>
      <c r="S1180" s="29" t="s">
        <v>2032</v>
      </c>
      <c r="T1180" s="29"/>
      <c r="U1180" s="29"/>
      <c r="V1180" s="29"/>
      <c r="W1180" s="30" t="s">
        <v>2032</v>
      </c>
      <c r="X1180" s="29" t="s">
        <v>2032</v>
      </c>
      <c r="Y1180" s="29"/>
      <c r="Z1180" s="29"/>
      <c r="AA1180" s="29"/>
      <c r="AB1180" s="27" t="s">
        <v>2058</v>
      </c>
      <c r="AC1180" s="27"/>
      <c r="AD1180" s="27"/>
      <c r="AE1180" s="31">
        <f>438.39</f>
        <v>438.39</v>
      </c>
      <c r="AF1180" s="31"/>
      <c r="AG1180" s="31"/>
    </row>
    <row r="1181" spans="1:33" s="1" customFormat="1" ht="18.75" customHeight="1">
      <c r="A1181" s="24" t="s">
        <v>1759</v>
      </c>
      <c r="B1181" s="25" t="s">
        <v>1760</v>
      </c>
      <c r="C1181" s="25"/>
      <c r="D1181" s="25"/>
      <c r="E1181" s="26" t="s">
        <v>1761</v>
      </c>
      <c r="F1181" s="26"/>
      <c r="G1181" s="26"/>
      <c r="H1181" s="26"/>
      <c r="I1181" s="26"/>
      <c r="J1181" s="27" t="s">
        <v>2056</v>
      </c>
      <c r="K1181" s="27"/>
      <c r="L1181" s="27"/>
      <c r="M1181" s="27"/>
      <c r="N1181" s="28">
        <f>1404</f>
        <v>1404</v>
      </c>
      <c r="O1181" s="28"/>
      <c r="P1181" s="28"/>
      <c r="Q1181" s="27" t="s">
        <v>2032</v>
      </c>
      <c r="R1181" s="27"/>
      <c r="S1181" s="29" t="s">
        <v>2032</v>
      </c>
      <c r="T1181" s="29"/>
      <c r="U1181" s="29"/>
      <c r="V1181" s="29"/>
      <c r="W1181" s="30" t="s">
        <v>2032</v>
      </c>
      <c r="X1181" s="29" t="s">
        <v>2032</v>
      </c>
      <c r="Y1181" s="29"/>
      <c r="Z1181" s="29"/>
      <c r="AA1181" s="29"/>
      <c r="AB1181" s="27" t="s">
        <v>2056</v>
      </c>
      <c r="AC1181" s="27"/>
      <c r="AD1181" s="27"/>
      <c r="AE1181" s="31">
        <f>1404</f>
        <v>1404</v>
      </c>
      <c r="AF1181" s="31"/>
      <c r="AG1181" s="31"/>
    </row>
    <row r="1182" spans="1:33" s="1" customFormat="1" ht="33" customHeight="1">
      <c r="A1182" s="24" t="s">
        <v>1762</v>
      </c>
      <c r="B1182" s="25" t="s">
        <v>1763</v>
      </c>
      <c r="C1182" s="25"/>
      <c r="D1182" s="25"/>
      <c r="E1182" s="26" t="s">
        <v>1764</v>
      </c>
      <c r="F1182" s="26"/>
      <c r="G1182" s="26"/>
      <c r="H1182" s="26"/>
      <c r="I1182" s="26"/>
      <c r="J1182" s="27" t="s">
        <v>2056</v>
      </c>
      <c r="K1182" s="27"/>
      <c r="L1182" s="27"/>
      <c r="M1182" s="27"/>
      <c r="N1182" s="28">
        <f>2100</f>
        <v>2100</v>
      </c>
      <c r="O1182" s="28"/>
      <c r="P1182" s="28"/>
      <c r="Q1182" s="27" t="s">
        <v>2032</v>
      </c>
      <c r="R1182" s="27"/>
      <c r="S1182" s="29" t="s">
        <v>2032</v>
      </c>
      <c r="T1182" s="29"/>
      <c r="U1182" s="29"/>
      <c r="V1182" s="29"/>
      <c r="W1182" s="30" t="s">
        <v>2032</v>
      </c>
      <c r="X1182" s="29" t="s">
        <v>2032</v>
      </c>
      <c r="Y1182" s="29"/>
      <c r="Z1182" s="29"/>
      <c r="AA1182" s="29"/>
      <c r="AB1182" s="27" t="s">
        <v>2056</v>
      </c>
      <c r="AC1182" s="27"/>
      <c r="AD1182" s="27"/>
      <c r="AE1182" s="31">
        <f>2100</f>
        <v>2100</v>
      </c>
      <c r="AF1182" s="31"/>
      <c r="AG1182" s="31"/>
    </row>
    <row r="1183" spans="1:33" s="1" customFormat="1" ht="18.75" customHeight="1">
      <c r="A1183" s="24" t="s">
        <v>1765</v>
      </c>
      <c r="B1183" s="25" t="s">
        <v>1766</v>
      </c>
      <c r="C1183" s="25"/>
      <c r="D1183" s="25"/>
      <c r="E1183" s="26" t="s">
        <v>1767</v>
      </c>
      <c r="F1183" s="26"/>
      <c r="G1183" s="26"/>
      <c r="H1183" s="26"/>
      <c r="I1183" s="26"/>
      <c r="J1183" s="27" t="s">
        <v>2056</v>
      </c>
      <c r="K1183" s="27"/>
      <c r="L1183" s="27"/>
      <c r="M1183" s="27"/>
      <c r="N1183" s="28">
        <f>596.05</f>
        <v>596.05</v>
      </c>
      <c r="O1183" s="28"/>
      <c r="P1183" s="28"/>
      <c r="Q1183" s="27" t="s">
        <v>2032</v>
      </c>
      <c r="R1183" s="27"/>
      <c r="S1183" s="29" t="s">
        <v>2032</v>
      </c>
      <c r="T1183" s="29"/>
      <c r="U1183" s="29"/>
      <c r="V1183" s="29"/>
      <c r="W1183" s="30" t="s">
        <v>2032</v>
      </c>
      <c r="X1183" s="29" t="s">
        <v>2032</v>
      </c>
      <c r="Y1183" s="29"/>
      <c r="Z1183" s="29"/>
      <c r="AA1183" s="29"/>
      <c r="AB1183" s="27" t="s">
        <v>2056</v>
      </c>
      <c r="AC1183" s="27"/>
      <c r="AD1183" s="27"/>
      <c r="AE1183" s="31">
        <f>596.05</f>
        <v>596.05</v>
      </c>
      <c r="AF1183" s="31"/>
      <c r="AG1183" s="31"/>
    </row>
    <row r="1184" spans="1:33" s="1" customFormat="1" ht="18.75" customHeight="1">
      <c r="A1184" s="24" t="s">
        <v>1768</v>
      </c>
      <c r="B1184" s="25" t="s">
        <v>1769</v>
      </c>
      <c r="C1184" s="25"/>
      <c r="D1184" s="25"/>
      <c r="E1184" s="26" t="s">
        <v>1770</v>
      </c>
      <c r="F1184" s="26"/>
      <c r="G1184" s="26"/>
      <c r="H1184" s="26"/>
      <c r="I1184" s="26"/>
      <c r="J1184" s="27" t="s">
        <v>2056</v>
      </c>
      <c r="K1184" s="27"/>
      <c r="L1184" s="27"/>
      <c r="M1184" s="27"/>
      <c r="N1184" s="28">
        <f>73.06</f>
        <v>73.06</v>
      </c>
      <c r="O1184" s="28"/>
      <c r="P1184" s="28"/>
      <c r="Q1184" s="27" t="s">
        <v>2032</v>
      </c>
      <c r="R1184" s="27"/>
      <c r="S1184" s="29" t="s">
        <v>2032</v>
      </c>
      <c r="T1184" s="29"/>
      <c r="U1184" s="29"/>
      <c r="V1184" s="29"/>
      <c r="W1184" s="30" t="s">
        <v>2032</v>
      </c>
      <c r="X1184" s="29" t="s">
        <v>2032</v>
      </c>
      <c r="Y1184" s="29"/>
      <c r="Z1184" s="29"/>
      <c r="AA1184" s="29"/>
      <c r="AB1184" s="27" t="s">
        <v>2056</v>
      </c>
      <c r="AC1184" s="27"/>
      <c r="AD1184" s="27"/>
      <c r="AE1184" s="31">
        <f>73.06</f>
        <v>73.06</v>
      </c>
      <c r="AF1184" s="31"/>
      <c r="AG1184" s="31"/>
    </row>
    <row r="1185" spans="1:33" s="1" customFormat="1" ht="18.75" customHeight="1">
      <c r="A1185" s="24" t="s">
        <v>1771</v>
      </c>
      <c r="B1185" s="25" t="s">
        <v>1772</v>
      </c>
      <c r="C1185" s="25"/>
      <c r="D1185" s="25"/>
      <c r="E1185" s="26" t="s">
        <v>1770</v>
      </c>
      <c r="F1185" s="26"/>
      <c r="G1185" s="26"/>
      <c r="H1185" s="26"/>
      <c r="I1185" s="26"/>
      <c r="J1185" s="27" t="s">
        <v>2056</v>
      </c>
      <c r="K1185" s="27"/>
      <c r="L1185" s="27"/>
      <c r="M1185" s="27"/>
      <c r="N1185" s="28">
        <f>73.06</f>
        <v>73.06</v>
      </c>
      <c r="O1185" s="28"/>
      <c r="P1185" s="28"/>
      <c r="Q1185" s="27" t="s">
        <v>2032</v>
      </c>
      <c r="R1185" s="27"/>
      <c r="S1185" s="29" t="s">
        <v>2032</v>
      </c>
      <c r="T1185" s="29"/>
      <c r="U1185" s="29"/>
      <c r="V1185" s="29"/>
      <c r="W1185" s="30" t="s">
        <v>2032</v>
      </c>
      <c r="X1185" s="29" t="s">
        <v>2032</v>
      </c>
      <c r="Y1185" s="29"/>
      <c r="Z1185" s="29"/>
      <c r="AA1185" s="29"/>
      <c r="AB1185" s="27" t="s">
        <v>2056</v>
      </c>
      <c r="AC1185" s="27"/>
      <c r="AD1185" s="27"/>
      <c r="AE1185" s="31">
        <f>73.06</f>
        <v>73.06</v>
      </c>
      <c r="AF1185" s="31"/>
      <c r="AG1185" s="31"/>
    </row>
    <row r="1186" spans="1:33" s="1" customFormat="1" ht="18.75" customHeight="1">
      <c r="A1186" s="24" t="s">
        <v>1773</v>
      </c>
      <c r="B1186" s="25" t="s">
        <v>1774</v>
      </c>
      <c r="C1186" s="25"/>
      <c r="D1186" s="25"/>
      <c r="E1186" s="26" t="s">
        <v>1775</v>
      </c>
      <c r="F1186" s="26"/>
      <c r="G1186" s="26"/>
      <c r="H1186" s="26"/>
      <c r="I1186" s="26"/>
      <c r="J1186" s="27" t="s">
        <v>2056</v>
      </c>
      <c r="K1186" s="27"/>
      <c r="L1186" s="27"/>
      <c r="M1186" s="27"/>
      <c r="N1186" s="28">
        <f>73.06</f>
        <v>73.06</v>
      </c>
      <c r="O1186" s="28"/>
      <c r="P1186" s="28"/>
      <c r="Q1186" s="27" t="s">
        <v>2032</v>
      </c>
      <c r="R1186" s="27"/>
      <c r="S1186" s="29" t="s">
        <v>2032</v>
      </c>
      <c r="T1186" s="29"/>
      <c r="U1186" s="29"/>
      <c r="V1186" s="29"/>
      <c r="W1186" s="30" t="s">
        <v>2032</v>
      </c>
      <c r="X1186" s="29" t="s">
        <v>2032</v>
      </c>
      <c r="Y1186" s="29"/>
      <c r="Z1186" s="29"/>
      <c r="AA1186" s="29"/>
      <c r="AB1186" s="27" t="s">
        <v>2056</v>
      </c>
      <c r="AC1186" s="27"/>
      <c r="AD1186" s="27"/>
      <c r="AE1186" s="31">
        <f>73.06</f>
        <v>73.06</v>
      </c>
      <c r="AF1186" s="31"/>
      <c r="AG1186" s="31"/>
    </row>
    <row r="1187" spans="1:33" s="1" customFormat="1" ht="18.75" customHeight="1">
      <c r="A1187" s="24" t="s">
        <v>1776</v>
      </c>
      <c r="B1187" s="25" t="s">
        <v>1777</v>
      </c>
      <c r="C1187" s="25"/>
      <c r="D1187" s="25"/>
      <c r="E1187" s="26" t="s">
        <v>1778</v>
      </c>
      <c r="F1187" s="26"/>
      <c r="G1187" s="26"/>
      <c r="H1187" s="26"/>
      <c r="I1187" s="26"/>
      <c r="J1187" s="27" t="s">
        <v>2056</v>
      </c>
      <c r="K1187" s="27"/>
      <c r="L1187" s="27"/>
      <c r="M1187" s="27"/>
      <c r="N1187" s="28">
        <f>1350</f>
        <v>1350</v>
      </c>
      <c r="O1187" s="28"/>
      <c r="P1187" s="28"/>
      <c r="Q1187" s="27" t="s">
        <v>2032</v>
      </c>
      <c r="R1187" s="27"/>
      <c r="S1187" s="29" t="s">
        <v>2032</v>
      </c>
      <c r="T1187" s="29"/>
      <c r="U1187" s="29"/>
      <c r="V1187" s="29"/>
      <c r="W1187" s="30" t="s">
        <v>2032</v>
      </c>
      <c r="X1187" s="29" t="s">
        <v>2032</v>
      </c>
      <c r="Y1187" s="29"/>
      <c r="Z1187" s="29"/>
      <c r="AA1187" s="29"/>
      <c r="AB1187" s="27" t="s">
        <v>2056</v>
      </c>
      <c r="AC1187" s="27"/>
      <c r="AD1187" s="27"/>
      <c r="AE1187" s="31">
        <f>1350</f>
        <v>1350</v>
      </c>
      <c r="AF1187" s="31"/>
      <c r="AG1187" s="31"/>
    </row>
    <row r="1188" spans="1:33" s="1" customFormat="1" ht="33" customHeight="1">
      <c r="A1188" s="24" t="s">
        <v>1779</v>
      </c>
      <c r="B1188" s="25" t="s">
        <v>1780</v>
      </c>
      <c r="C1188" s="25"/>
      <c r="D1188" s="25"/>
      <c r="E1188" s="26" t="s">
        <v>1781</v>
      </c>
      <c r="F1188" s="26"/>
      <c r="G1188" s="26"/>
      <c r="H1188" s="26"/>
      <c r="I1188" s="26"/>
      <c r="J1188" s="27" t="s">
        <v>2056</v>
      </c>
      <c r="K1188" s="27"/>
      <c r="L1188" s="27"/>
      <c r="M1188" s="27"/>
      <c r="N1188" s="28">
        <f>2172.6</f>
        <v>2172.6</v>
      </c>
      <c r="O1188" s="28"/>
      <c r="P1188" s="28"/>
      <c r="Q1188" s="27" t="s">
        <v>2032</v>
      </c>
      <c r="R1188" s="27"/>
      <c r="S1188" s="29" t="s">
        <v>2032</v>
      </c>
      <c r="T1188" s="29"/>
      <c r="U1188" s="29"/>
      <c r="V1188" s="29"/>
      <c r="W1188" s="30" t="s">
        <v>2032</v>
      </c>
      <c r="X1188" s="29" t="s">
        <v>2032</v>
      </c>
      <c r="Y1188" s="29"/>
      <c r="Z1188" s="29"/>
      <c r="AA1188" s="29"/>
      <c r="AB1188" s="27" t="s">
        <v>2056</v>
      </c>
      <c r="AC1188" s="27"/>
      <c r="AD1188" s="27"/>
      <c r="AE1188" s="31">
        <f>2172.6</f>
        <v>2172.6</v>
      </c>
      <c r="AF1188" s="31"/>
      <c r="AG1188" s="31"/>
    </row>
    <row r="1189" spans="1:33" s="1" customFormat="1" ht="18.75" customHeight="1">
      <c r="A1189" s="24" t="s">
        <v>1782</v>
      </c>
      <c r="B1189" s="25" t="s">
        <v>1783</v>
      </c>
      <c r="C1189" s="25"/>
      <c r="D1189" s="25"/>
      <c r="E1189" s="26" t="s">
        <v>1784</v>
      </c>
      <c r="F1189" s="26"/>
      <c r="G1189" s="26"/>
      <c r="H1189" s="26"/>
      <c r="I1189" s="26"/>
      <c r="J1189" s="27" t="s">
        <v>2056</v>
      </c>
      <c r="K1189" s="27"/>
      <c r="L1189" s="27"/>
      <c r="M1189" s="27"/>
      <c r="N1189" s="28">
        <f>850</f>
        <v>850</v>
      </c>
      <c r="O1189" s="28"/>
      <c r="P1189" s="28"/>
      <c r="Q1189" s="27" t="s">
        <v>2032</v>
      </c>
      <c r="R1189" s="27"/>
      <c r="S1189" s="29" t="s">
        <v>2032</v>
      </c>
      <c r="T1189" s="29"/>
      <c r="U1189" s="29"/>
      <c r="V1189" s="29"/>
      <c r="W1189" s="30" t="s">
        <v>2032</v>
      </c>
      <c r="X1189" s="29" t="s">
        <v>2032</v>
      </c>
      <c r="Y1189" s="29"/>
      <c r="Z1189" s="29"/>
      <c r="AA1189" s="29"/>
      <c r="AB1189" s="27" t="s">
        <v>2056</v>
      </c>
      <c r="AC1189" s="27"/>
      <c r="AD1189" s="27"/>
      <c r="AE1189" s="31">
        <f>850</f>
        <v>850</v>
      </c>
      <c r="AF1189" s="31"/>
      <c r="AG1189" s="31"/>
    </row>
    <row r="1190" spans="1:33" s="1" customFormat="1" ht="18.75" customHeight="1">
      <c r="A1190" s="24" t="s">
        <v>1785</v>
      </c>
      <c r="B1190" s="25" t="s">
        <v>1786</v>
      </c>
      <c r="C1190" s="25"/>
      <c r="D1190" s="25"/>
      <c r="E1190" s="26" t="s">
        <v>1787</v>
      </c>
      <c r="F1190" s="26"/>
      <c r="G1190" s="26"/>
      <c r="H1190" s="26"/>
      <c r="I1190" s="26"/>
      <c r="J1190" s="27" t="s">
        <v>2056</v>
      </c>
      <c r="K1190" s="27"/>
      <c r="L1190" s="27"/>
      <c r="M1190" s="27"/>
      <c r="N1190" s="28">
        <f>1000</f>
        <v>1000</v>
      </c>
      <c r="O1190" s="28"/>
      <c r="P1190" s="28"/>
      <c r="Q1190" s="27" t="s">
        <v>2032</v>
      </c>
      <c r="R1190" s="27"/>
      <c r="S1190" s="29" t="s">
        <v>2032</v>
      </c>
      <c r="T1190" s="29"/>
      <c r="U1190" s="29"/>
      <c r="V1190" s="29"/>
      <c r="W1190" s="30" t="s">
        <v>2032</v>
      </c>
      <c r="X1190" s="29" t="s">
        <v>2032</v>
      </c>
      <c r="Y1190" s="29"/>
      <c r="Z1190" s="29"/>
      <c r="AA1190" s="29"/>
      <c r="AB1190" s="27" t="s">
        <v>2056</v>
      </c>
      <c r="AC1190" s="27"/>
      <c r="AD1190" s="27"/>
      <c r="AE1190" s="31">
        <f>1000</f>
        <v>1000</v>
      </c>
      <c r="AF1190" s="31"/>
      <c r="AG1190" s="31"/>
    </row>
    <row r="1191" spans="1:33" s="1" customFormat="1" ht="18.75" customHeight="1">
      <c r="A1191" s="24" t="s">
        <v>1788</v>
      </c>
      <c r="B1191" s="25" t="s">
        <v>1789</v>
      </c>
      <c r="C1191" s="25"/>
      <c r="D1191" s="25"/>
      <c r="E1191" s="26" t="s">
        <v>1790</v>
      </c>
      <c r="F1191" s="26"/>
      <c r="G1191" s="26"/>
      <c r="H1191" s="26"/>
      <c r="I1191" s="26"/>
      <c r="J1191" s="27" t="s">
        <v>2058</v>
      </c>
      <c r="K1191" s="27"/>
      <c r="L1191" s="27"/>
      <c r="M1191" s="27"/>
      <c r="N1191" s="28">
        <f>1500</f>
        <v>1500</v>
      </c>
      <c r="O1191" s="28"/>
      <c r="P1191" s="28"/>
      <c r="Q1191" s="27" t="s">
        <v>2032</v>
      </c>
      <c r="R1191" s="27"/>
      <c r="S1191" s="29" t="s">
        <v>2032</v>
      </c>
      <c r="T1191" s="29"/>
      <c r="U1191" s="29"/>
      <c r="V1191" s="29"/>
      <c r="W1191" s="30" t="s">
        <v>2032</v>
      </c>
      <c r="X1191" s="29" t="s">
        <v>2032</v>
      </c>
      <c r="Y1191" s="29"/>
      <c r="Z1191" s="29"/>
      <c r="AA1191" s="29"/>
      <c r="AB1191" s="27" t="s">
        <v>2058</v>
      </c>
      <c r="AC1191" s="27"/>
      <c r="AD1191" s="27"/>
      <c r="AE1191" s="31">
        <f>1500</f>
        <v>1500</v>
      </c>
      <c r="AF1191" s="31"/>
      <c r="AG1191" s="31"/>
    </row>
    <row r="1192" spans="1:33" s="1" customFormat="1" ht="33" customHeight="1">
      <c r="A1192" s="24" t="s">
        <v>1791</v>
      </c>
      <c r="B1192" s="25" t="s">
        <v>1792</v>
      </c>
      <c r="C1192" s="25"/>
      <c r="D1192" s="25"/>
      <c r="E1192" s="26" t="s">
        <v>1793</v>
      </c>
      <c r="F1192" s="26"/>
      <c r="G1192" s="26"/>
      <c r="H1192" s="26"/>
      <c r="I1192" s="26"/>
      <c r="J1192" s="27" t="s">
        <v>2056</v>
      </c>
      <c r="K1192" s="27"/>
      <c r="L1192" s="27"/>
      <c r="M1192" s="27"/>
      <c r="N1192" s="28">
        <f>2300</f>
        <v>2300</v>
      </c>
      <c r="O1192" s="28"/>
      <c r="P1192" s="28"/>
      <c r="Q1192" s="27" t="s">
        <v>2032</v>
      </c>
      <c r="R1192" s="27"/>
      <c r="S1192" s="29" t="s">
        <v>2032</v>
      </c>
      <c r="T1192" s="29"/>
      <c r="U1192" s="29"/>
      <c r="V1192" s="29"/>
      <c r="W1192" s="30" t="s">
        <v>2032</v>
      </c>
      <c r="X1192" s="29" t="s">
        <v>2032</v>
      </c>
      <c r="Y1192" s="29"/>
      <c r="Z1192" s="29"/>
      <c r="AA1192" s="29"/>
      <c r="AB1192" s="27" t="s">
        <v>2056</v>
      </c>
      <c r="AC1192" s="27"/>
      <c r="AD1192" s="27"/>
      <c r="AE1192" s="31">
        <f>2300</f>
        <v>2300</v>
      </c>
      <c r="AF1192" s="31"/>
      <c r="AG1192" s="31"/>
    </row>
    <row r="1193" spans="1:33" s="1" customFormat="1" ht="18.75" customHeight="1">
      <c r="A1193" s="24" t="s">
        <v>1794</v>
      </c>
      <c r="B1193" s="25" t="s">
        <v>1795</v>
      </c>
      <c r="C1193" s="25"/>
      <c r="D1193" s="25"/>
      <c r="E1193" s="26" t="s">
        <v>1796</v>
      </c>
      <c r="F1193" s="26"/>
      <c r="G1193" s="26"/>
      <c r="H1193" s="26"/>
      <c r="I1193" s="26"/>
      <c r="J1193" s="27" t="s">
        <v>2059</v>
      </c>
      <c r="K1193" s="27"/>
      <c r="L1193" s="27"/>
      <c r="M1193" s="27"/>
      <c r="N1193" s="28">
        <f>9040</f>
        <v>9040</v>
      </c>
      <c r="O1193" s="28"/>
      <c r="P1193" s="28"/>
      <c r="Q1193" s="27" t="s">
        <v>2032</v>
      </c>
      <c r="R1193" s="27"/>
      <c r="S1193" s="29" t="s">
        <v>2032</v>
      </c>
      <c r="T1193" s="29"/>
      <c r="U1193" s="29"/>
      <c r="V1193" s="29"/>
      <c r="W1193" s="30" t="s">
        <v>2032</v>
      </c>
      <c r="X1193" s="29" t="s">
        <v>2032</v>
      </c>
      <c r="Y1193" s="29"/>
      <c r="Z1193" s="29"/>
      <c r="AA1193" s="29"/>
      <c r="AB1193" s="27" t="s">
        <v>2059</v>
      </c>
      <c r="AC1193" s="27"/>
      <c r="AD1193" s="27"/>
      <c r="AE1193" s="31">
        <f>9040</f>
        <v>9040</v>
      </c>
      <c r="AF1193" s="31"/>
      <c r="AG1193" s="31"/>
    </row>
    <row r="1194" spans="1:33" s="1" customFormat="1" ht="18.75" customHeight="1">
      <c r="A1194" s="24" t="s">
        <v>1797</v>
      </c>
      <c r="B1194" s="25" t="s">
        <v>1798</v>
      </c>
      <c r="C1194" s="25"/>
      <c r="D1194" s="25"/>
      <c r="E1194" s="26" t="s">
        <v>1799</v>
      </c>
      <c r="F1194" s="26"/>
      <c r="G1194" s="26"/>
      <c r="H1194" s="26"/>
      <c r="I1194" s="26"/>
      <c r="J1194" s="27" t="s">
        <v>2056</v>
      </c>
      <c r="K1194" s="27"/>
      <c r="L1194" s="27"/>
      <c r="M1194" s="27"/>
      <c r="N1194" s="28">
        <f>1947.4</f>
        <v>1947.4</v>
      </c>
      <c r="O1194" s="28"/>
      <c r="P1194" s="28"/>
      <c r="Q1194" s="27" t="s">
        <v>2032</v>
      </c>
      <c r="R1194" s="27"/>
      <c r="S1194" s="29" t="s">
        <v>2032</v>
      </c>
      <c r="T1194" s="29"/>
      <c r="U1194" s="29"/>
      <c r="V1194" s="29"/>
      <c r="W1194" s="30" t="s">
        <v>2032</v>
      </c>
      <c r="X1194" s="29" t="s">
        <v>2032</v>
      </c>
      <c r="Y1194" s="29"/>
      <c r="Z1194" s="29"/>
      <c r="AA1194" s="29"/>
      <c r="AB1194" s="27" t="s">
        <v>2056</v>
      </c>
      <c r="AC1194" s="27"/>
      <c r="AD1194" s="27"/>
      <c r="AE1194" s="31">
        <f>1947.4</f>
        <v>1947.4</v>
      </c>
      <c r="AF1194" s="31"/>
      <c r="AG1194" s="31"/>
    </row>
    <row r="1195" spans="1:33" s="1" customFormat="1" ht="18.75" customHeight="1">
      <c r="A1195" s="24" t="s">
        <v>1800</v>
      </c>
      <c r="B1195" s="25" t="s">
        <v>1801</v>
      </c>
      <c r="C1195" s="25"/>
      <c r="D1195" s="25"/>
      <c r="E1195" s="26" t="s">
        <v>1802</v>
      </c>
      <c r="F1195" s="26"/>
      <c r="G1195" s="26"/>
      <c r="H1195" s="26"/>
      <c r="I1195" s="26"/>
      <c r="J1195" s="27" t="s">
        <v>2056</v>
      </c>
      <c r="K1195" s="27"/>
      <c r="L1195" s="27"/>
      <c r="M1195" s="27"/>
      <c r="N1195" s="28">
        <f>1400</f>
        <v>1400</v>
      </c>
      <c r="O1195" s="28"/>
      <c r="P1195" s="28"/>
      <c r="Q1195" s="27" t="s">
        <v>2032</v>
      </c>
      <c r="R1195" s="27"/>
      <c r="S1195" s="29" t="s">
        <v>2032</v>
      </c>
      <c r="T1195" s="29"/>
      <c r="U1195" s="29"/>
      <c r="V1195" s="29"/>
      <c r="W1195" s="30" t="s">
        <v>2032</v>
      </c>
      <c r="X1195" s="29" t="s">
        <v>2032</v>
      </c>
      <c r="Y1195" s="29"/>
      <c r="Z1195" s="29"/>
      <c r="AA1195" s="29"/>
      <c r="AB1195" s="27" t="s">
        <v>2056</v>
      </c>
      <c r="AC1195" s="27"/>
      <c r="AD1195" s="27"/>
      <c r="AE1195" s="31">
        <f>1400</f>
        <v>1400</v>
      </c>
      <c r="AF1195" s="31"/>
      <c r="AG1195" s="31"/>
    </row>
    <row r="1196" spans="1:33" s="1" customFormat="1" ht="18.75" customHeight="1">
      <c r="A1196" s="24" t="s">
        <v>1803</v>
      </c>
      <c r="B1196" s="25" t="s">
        <v>1804</v>
      </c>
      <c r="C1196" s="25"/>
      <c r="D1196" s="25"/>
      <c r="E1196" s="26" t="s">
        <v>1805</v>
      </c>
      <c r="F1196" s="26"/>
      <c r="G1196" s="26"/>
      <c r="H1196" s="26"/>
      <c r="I1196" s="26"/>
      <c r="J1196" s="27" t="s">
        <v>2056</v>
      </c>
      <c r="K1196" s="27"/>
      <c r="L1196" s="27"/>
      <c r="M1196" s="27"/>
      <c r="N1196" s="28">
        <f>1200</f>
        <v>1200</v>
      </c>
      <c r="O1196" s="28"/>
      <c r="P1196" s="28"/>
      <c r="Q1196" s="27" t="s">
        <v>2032</v>
      </c>
      <c r="R1196" s="27"/>
      <c r="S1196" s="29" t="s">
        <v>2032</v>
      </c>
      <c r="T1196" s="29"/>
      <c r="U1196" s="29"/>
      <c r="V1196" s="29"/>
      <c r="W1196" s="30" t="s">
        <v>2032</v>
      </c>
      <c r="X1196" s="29" t="s">
        <v>2032</v>
      </c>
      <c r="Y1196" s="29"/>
      <c r="Z1196" s="29"/>
      <c r="AA1196" s="29"/>
      <c r="AB1196" s="27" t="s">
        <v>2056</v>
      </c>
      <c r="AC1196" s="27"/>
      <c r="AD1196" s="27"/>
      <c r="AE1196" s="31">
        <f>1200</f>
        <v>1200</v>
      </c>
      <c r="AF1196" s="31"/>
      <c r="AG1196" s="31"/>
    </row>
    <row r="1197" spans="1:33" s="1" customFormat="1" ht="18.75" customHeight="1">
      <c r="A1197" s="24" t="s">
        <v>1806</v>
      </c>
      <c r="B1197" s="25" t="s">
        <v>1807</v>
      </c>
      <c r="C1197" s="25"/>
      <c r="D1197" s="25"/>
      <c r="E1197" s="26" t="s">
        <v>1805</v>
      </c>
      <c r="F1197" s="26"/>
      <c r="G1197" s="26"/>
      <c r="H1197" s="26"/>
      <c r="I1197" s="26"/>
      <c r="J1197" s="27" t="s">
        <v>2056</v>
      </c>
      <c r="K1197" s="27"/>
      <c r="L1197" s="27"/>
      <c r="M1197" s="27"/>
      <c r="N1197" s="28">
        <f>1200</f>
        <v>1200</v>
      </c>
      <c r="O1197" s="28"/>
      <c r="P1197" s="28"/>
      <c r="Q1197" s="27" t="s">
        <v>2032</v>
      </c>
      <c r="R1197" s="27"/>
      <c r="S1197" s="29" t="s">
        <v>2032</v>
      </c>
      <c r="T1197" s="29"/>
      <c r="U1197" s="29"/>
      <c r="V1197" s="29"/>
      <c r="W1197" s="30" t="s">
        <v>2032</v>
      </c>
      <c r="X1197" s="29" t="s">
        <v>2032</v>
      </c>
      <c r="Y1197" s="29"/>
      <c r="Z1197" s="29"/>
      <c r="AA1197" s="29"/>
      <c r="AB1197" s="27" t="s">
        <v>2056</v>
      </c>
      <c r="AC1197" s="27"/>
      <c r="AD1197" s="27"/>
      <c r="AE1197" s="31">
        <f>1200</f>
        <v>1200</v>
      </c>
      <c r="AF1197" s="31"/>
      <c r="AG1197" s="31"/>
    </row>
    <row r="1198" spans="1:33" s="1" customFormat="1" ht="18.75" customHeight="1">
      <c r="A1198" s="24" t="s">
        <v>1808</v>
      </c>
      <c r="B1198" s="25" t="s">
        <v>1809</v>
      </c>
      <c r="C1198" s="25"/>
      <c r="D1198" s="25"/>
      <c r="E1198" s="26" t="s">
        <v>1810</v>
      </c>
      <c r="F1198" s="26"/>
      <c r="G1198" s="26"/>
      <c r="H1198" s="26"/>
      <c r="I1198" s="26"/>
      <c r="J1198" s="27" t="s">
        <v>2056</v>
      </c>
      <c r="K1198" s="27"/>
      <c r="L1198" s="27"/>
      <c r="M1198" s="27"/>
      <c r="N1198" s="28">
        <f>2690</f>
        <v>2690</v>
      </c>
      <c r="O1198" s="28"/>
      <c r="P1198" s="28"/>
      <c r="Q1198" s="27" t="s">
        <v>2032</v>
      </c>
      <c r="R1198" s="27"/>
      <c r="S1198" s="29" t="s">
        <v>2032</v>
      </c>
      <c r="T1198" s="29"/>
      <c r="U1198" s="29"/>
      <c r="V1198" s="29"/>
      <c r="W1198" s="30" t="s">
        <v>2032</v>
      </c>
      <c r="X1198" s="29" t="s">
        <v>2032</v>
      </c>
      <c r="Y1198" s="29"/>
      <c r="Z1198" s="29"/>
      <c r="AA1198" s="29"/>
      <c r="AB1198" s="27" t="s">
        <v>2056</v>
      </c>
      <c r="AC1198" s="27"/>
      <c r="AD1198" s="27"/>
      <c r="AE1198" s="31">
        <f>2690</f>
        <v>2690</v>
      </c>
      <c r="AF1198" s="31"/>
      <c r="AG1198" s="31"/>
    </row>
    <row r="1199" spans="1:33" s="1" customFormat="1" ht="33" customHeight="1">
      <c r="A1199" s="24" t="s">
        <v>1811</v>
      </c>
      <c r="B1199" s="25" t="s">
        <v>1812</v>
      </c>
      <c r="C1199" s="25"/>
      <c r="D1199" s="25"/>
      <c r="E1199" s="26" t="s">
        <v>1813</v>
      </c>
      <c r="F1199" s="26"/>
      <c r="G1199" s="26"/>
      <c r="H1199" s="26"/>
      <c r="I1199" s="26"/>
      <c r="J1199" s="27" t="s">
        <v>2056</v>
      </c>
      <c r="K1199" s="27"/>
      <c r="L1199" s="27"/>
      <c r="M1199" s="27"/>
      <c r="N1199" s="28">
        <f>2820</f>
        <v>2820</v>
      </c>
      <c r="O1199" s="28"/>
      <c r="P1199" s="28"/>
      <c r="Q1199" s="27" t="s">
        <v>2032</v>
      </c>
      <c r="R1199" s="27"/>
      <c r="S1199" s="29" t="s">
        <v>2032</v>
      </c>
      <c r="T1199" s="29"/>
      <c r="U1199" s="29"/>
      <c r="V1199" s="29"/>
      <c r="W1199" s="30" t="s">
        <v>2032</v>
      </c>
      <c r="X1199" s="29" t="s">
        <v>2032</v>
      </c>
      <c r="Y1199" s="29"/>
      <c r="Z1199" s="29"/>
      <c r="AA1199" s="29"/>
      <c r="AB1199" s="27" t="s">
        <v>2056</v>
      </c>
      <c r="AC1199" s="27"/>
      <c r="AD1199" s="27"/>
      <c r="AE1199" s="31">
        <f>2820</f>
        <v>2820</v>
      </c>
      <c r="AF1199" s="31"/>
      <c r="AG1199" s="31"/>
    </row>
    <row r="1200" spans="1:33" s="1" customFormat="1" ht="18.75" customHeight="1">
      <c r="A1200" s="24" t="s">
        <v>1814</v>
      </c>
      <c r="B1200" s="25" t="s">
        <v>1815</v>
      </c>
      <c r="C1200" s="25"/>
      <c r="D1200" s="25"/>
      <c r="E1200" s="26" t="s">
        <v>1816</v>
      </c>
      <c r="F1200" s="26"/>
      <c r="G1200" s="26"/>
      <c r="H1200" s="26"/>
      <c r="I1200" s="26"/>
      <c r="J1200" s="27" t="s">
        <v>2056</v>
      </c>
      <c r="K1200" s="27"/>
      <c r="L1200" s="27"/>
      <c r="M1200" s="27"/>
      <c r="N1200" s="28">
        <f>1990</f>
        <v>1990</v>
      </c>
      <c r="O1200" s="28"/>
      <c r="P1200" s="28"/>
      <c r="Q1200" s="27" t="s">
        <v>2032</v>
      </c>
      <c r="R1200" s="27"/>
      <c r="S1200" s="29" t="s">
        <v>2032</v>
      </c>
      <c r="T1200" s="29"/>
      <c r="U1200" s="29"/>
      <c r="V1200" s="29"/>
      <c r="W1200" s="30" t="s">
        <v>2032</v>
      </c>
      <c r="X1200" s="29" t="s">
        <v>2032</v>
      </c>
      <c r="Y1200" s="29"/>
      <c r="Z1200" s="29"/>
      <c r="AA1200" s="29"/>
      <c r="AB1200" s="27" t="s">
        <v>2056</v>
      </c>
      <c r="AC1200" s="27"/>
      <c r="AD1200" s="27"/>
      <c r="AE1200" s="31">
        <f>1990</f>
        <v>1990</v>
      </c>
      <c r="AF1200" s="31"/>
      <c r="AG1200" s="31"/>
    </row>
    <row r="1201" spans="1:33" s="1" customFormat="1" ht="33" customHeight="1">
      <c r="A1201" s="24" t="s">
        <v>1817</v>
      </c>
      <c r="B1201" s="25" t="s">
        <v>1818</v>
      </c>
      <c r="C1201" s="25"/>
      <c r="D1201" s="25"/>
      <c r="E1201" s="26" t="s">
        <v>1819</v>
      </c>
      <c r="F1201" s="26"/>
      <c r="G1201" s="26"/>
      <c r="H1201" s="26"/>
      <c r="I1201" s="26"/>
      <c r="J1201" s="27" t="s">
        <v>2056</v>
      </c>
      <c r="K1201" s="27"/>
      <c r="L1201" s="27"/>
      <c r="M1201" s="27"/>
      <c r="N1201" s="28">
        <f>2295</f>
        <v>2295</v>
      </c>
      <c r="O1201" s="28"/>
      <c r="P1201" s="28"/>
      <c r="Q1201" s="27" t="s">
        <v>2032</v>
      </c>
      <c r="R1201" s="27"/>
      <c r="S1201" s="29" t="s">
        <v>2032</v>
      </c>
      <c r="T1201" s="29"/>
      <c r="U1201" s="29"/>
      <c r="V1201" s="29"/>
      <c r="W1201" s="30" t="s">
        <v>2032</v>
      </c>
      <c r="X1201" s="29" t="s">
        <v>2032</v>
      </c>
      <c r="Y1201" s="29"/>
      <c r="Z1201" s="29"/>
      <c r="AA1201" s="29"/>
      <c r="AB1201" s="27" t="s">
        <v>2056</v>
      </c>
      <c r="AC1201" s="27"/>
      <c r="AD1201" s="27"/>
      <c r="AE1201" s="31">
        <f>2295</f>
        <v>2295</v>
      </c>
      <c r="AF1201" s="31"/>
      <c r="AG1201" s="31"/>
    </row>
    <row r="1202" spans="1:33" s="1" customFormat="1" ht="33" customHeight="1">
      <c r="A1202" s="24" t="s">
        <v>1820</v>
      </c>
      <c r="B1202" s="25" t="s">
        <v>1821</v>
      </c>
      <c r="C1202" s="25"/>
      <c r="D1202" s="25"/>
      <c r="E1202" s="26" t="s">
        <v>1819</v>
      </c>
      <c r="F1202" s="26"/>
      <c r="G1202" s="26"/>
      <c r="H1202" s="26"/>
      <c r="I1202" s="26"/>
      <c r="J1202" s="27" t="s">
        <v>2056</v>
      </c>
      <c r="K1202" s="27"/>
      <c r="L1202" s="27"/>
      <c r="M1202" s="27"/>
      <c r="N1202" s="28">
        <f>2295</f>
        <v>2295</v>
      </c>
      <c r="O1202" s="28"/>
      <c r="P1202" s="28"/>
      <c r="Q1202" s="27" t="s">
        <v>2032</v>
      </c>
      <c r="R1202" s="27"/>
      <c r="S1202" s="29" t="s">
        <v>2032</v>
      </c>
      <c r="T1202" s="29"/>
      <c r="U1202" s="29"/>
      <c r="V1202" s="29"/>
      <c r="W1202" s="30" t="s">
        <v>2032</v>
      </c>
      <c r="X1202" s="29" t="s">
        <v>2032</v>
      </c>
      <c r="Y1202" s="29"/>
      <c r="Z1202" s="29"/>
      <c r="AA1202" s="29"/>
      <c r="AB1202" s="27" t="s">
        <v>2056</v>
      </c>
      <c r="AC1202" s="27"/>
      <c r="AD1202" s="27"/>
      <c r="AE1202" s="31">
        <f>2295</f>
        <v>2295</v>
      </c>
      <c r="AF1202" s="31"/>
      <c r="AG1202" s="31"/>
    </row>
    <row r="1203" spans="1:33" s="1" customFormat="1" ht="18.75" customHeight="1">
      <c r="A1203" s="24" t="s">
        <v>1822</v>
      </c>
      <c r="B1203" s="25" t="s">
        <v>1823</v>
      </c>
      <c r="C1203" s="25"/>
      <c r="D1203" s="25"/>
      <c r="E1203" s="26" t="s">
        <v>1824</v>
      </c>
      <c r="F1203" s="26"/>
      <c r="G1203" s="26"/>
      <c r="H1203" s="26"/>
      <c r="I1203" s="26"/>
      <c r="J1203" s="27" t="s">
        <v>2056</v>
      </c>
      <c r="K1203" s="27"/>
      <c r="L1203" s="27"/>
      <c r="M1203" s="27"/>
      <c r="N1203" s="28">
        <f>73.06</f>
        <v>73.06</v>
      </c>
      <c r="O1203" s="28"/>
      <c r="P1203" s="28"/>
      <c r="Q1203" s="27" t="s">
        <v>2032</v>
      </c>
      <c r="R1203" s="27"/>
      <c r="S1203" s="29" t="s">
        <v>2032</v>
      </c>
      <c r="T1203" s="29"/>
      <c r="U1203" s="29"/>
      <c r="V1203" s="29"/>
      <c r="W1203" s="30" t="s">
        <v>2032</v>
      </c>
      <c r="X1203" s="29" t="s">
        <v>2032</v>
      </c>
      <c r="Y1203" s="29"/>
      <c r="Z1203" s="29"/>
      <c r="AA1203" s="29"/>
      <c r="AB1203" s="27" t="s">
        <v>2056</v>
      </c>
      <c r="AC1203" s="27"/>
      <c r="AD1203" s="27"/>
      <c r="AE1203" s="31">
        <f>73.06</f>
        <v>73.06</v>
      </c>
      <c r="AF1203" s="31"/>
      <c r="AG1203" s="31"/>
    </row>
    <row r="1204" spans="1:33" s="1" customFormat="1" ht="18.75" customHeight="1">
      <c r="A1204" s="24" t="s">
        <v>1825</v>
      </c>
      <c r="B1204" s="25" t="s">
        <v>2782</v>
      </c>
      <c r="C1204" s="25"/>
      <c r="D1204" s="25"/>
      <c r="E1204" s="26" t="s">
        <v>1826</v>
      </c>
      <c r="F1204" s="26"/>
      <c r="G1204" s="26"/>
      <c r="H1204" s="26"/>
      <c r="I1204" s="26"/>
      <c r="J1204" s="27" t="s">
        <v>2059</v>
      </c>
      <c r="K1204" s="27"/>
      <c r="L1204" s="27"/>
      <c r="M1204" s="27"/>
      <c r="N1204" s="28">
        <f>896</f>
        <v>896</v>
      </c>
      <c r="O1204" s="28"/>
      <c r="P1204" s="28"/>
      <c r="Q1204" s="27" t="s">
        <v>2032</v>
      </c>
      <c r="R1204" s="27"/>
      <c r="S1204" s="29" t="s">
        <v>2032</v>
      </c>
      <c r="T1204" s="29"/>
      <c r="U1204" s="29"/>
      <c r="V1204" s="29"/>
      <c r="W1204" s="30" t="s">
        <v>2032</v>
      </c>
      <c r="X1204" s="29" t="s">
        <v>2032</v>
      </c>
      <c r="Y1204" s="29"/>
      <c r="Z1204" s="29"/>
      <c r="AA1204" s="29"/>
      <c r="AB1204" s="27" t="s">
        <v>2059</v>
      </c>
      <c r="AC1204" s="27"/>
      <c r="AD1204" s="27"/>
      <c r="AE1204" s="31">
        <f>896</f>
        <v>896</v>
      </c>
      <c r="AF1204" s="31"/>
      <c r="AG1204" s="31"/>
    </row>
    <row r="1205" spans="1:33" s="1" customFormat="1" ht="18.75" customHeight="1">
      <c r="A1205" s="24" t="s">
        <v>1827</v>
      </c>
      <c r="B1205" s="25" t="s">
        <v>1828</v>
      </c>
      <c r="C1205" s="25"/>
      <c r="D1205" s="25"/>
      <c r="E1205" s="26" t="s">
        <v>1829</v>
      </c>
      <c r="F1205" s="26"/>
      <c r="G1205" s="26"/>
      <c r="H1205" s="26"/>
      <c r="I1205" s="26"/>
      <c r="J1205" s="27" t="s">
        <v>2059</v>
      </c>
      <c r="K1205" s="27"/>
      <c r="L1205" s="27"/>
      <c r="M1205" s="27"/>
      <c r="N1205" s="28">
        <f>964.4</f>
        <v>964.4</v>
      </c>
      <c r="O1205" s="28"/>
      <c r="P1205" s="28"/>
      <c r="Q1205" s="27" t="s">
        <v>2032</v>
      </c>
      <c r="R1205" s="27"/>
      <c r="S1205" s="29" t="s">
        <v>2032</v>
      </c>
      <c r="T1205" s="29"/>
      <c r="U1205" s="29"/>
      <c r="V1205" s="29"/>
      <c r="W1205" s="30" t="s">
        <v>2032</v>
      </c>
      <c r="X1205" s="29" t="s">
        <v>2032</v>
      </c>
      <c r="Y1205" s="29"/>
      <c r="Z1205" s="29"/>
      <c r="AA1205" s="29"/>
      <c r="AB1205" s="27" t="s">
        <v>2059</v>
      </c>
      <c r="AC1205" s="27"/>
      <c r="AD1205" s="27"/>
      <c r="AE1205" s="31">
        <f>964.4</f>
        <v>964.4</v>
      </c>
      <c r="AF1205" s="31"/>
      <c r="AG1205" s="31"/>
    </row>
    <row r="1206" spans="1:33" s="1" customFormat="1" ht="33" customHeight="1">
      <c r="A1206" s="24" t="s">
        <v>1830</v>
      </c>
      <c r="B1206" s="25" t="s">
        <v>1831</v>
      </c>
      <c r="C1206" s="25"/>
      <c r="D1206" s="25"/>
      <c r="E1206" s="26" t="s">
        <v>1832</v>
      </c>
      <c r="F1206" s="26"/>
      <c r="G1206" s="26"/>
      <c r="H1206" s="26"/>
      <c r="I1206" s="26"/>
      <c r="J1206" s="27" t="s">
        <v>2138</v>
      </c>
      <c r="K1206" s="27"/>
      <c r="L1206" s="27"/>
      <c r="M1206" s="27"/>
      <c r="N1206" s="28">
        <f>3300</f>
        <v>3300</v>
      </c>
      <c r="O1206" s="28"/>
      <c r="P1206" s="28"/>
      <c r="Q1206" s="27" t="s">
        <v>2032</v>
      </c>
      <c r="R1206" s="27"/>
      <c r="S1206" s="29" t="s">
        <v>2032</v>
      </c>
      <c r="T1206" s="29"/>
      <c r="U1206" s="29"/>
      <c r="V1206" s="29"/>
      <c r="W1206" s="30" t="s">
        <v>2032</v>
      </c>
      <c r="X1206" s="29" t="s">
        <v>2032</v>
      </c>
      <c r="Y1206" s="29"/>
      <c r="Z1206" s="29"/>
      <c r="AA1206" s="29"/>
      <c r="AB1206" s="27" t="s">
        <v>2138</v>
      </c>
      <c r="AC1206" s="27"/>
      <c r="AD1206" s="27"/>
      <c r="AE1206" s="31">
        <f>3300</f>
        <v>3300</v>
      </c>
      <c r="AF1206" s="31"/>
      <c r="AG1206" s="31"/>
    </row>
    <row r="1207" spans="1:33" s="1" customFormat="1" ht="18.75" customHeight="1">
      <c r="A1207" s="24" t="s">
        <v>1833</v>
      </c>
      <c r="B1207" s="25" t="s">
        <v>1834</v>
      </c>
      <c r="C1207" s="25"/>
      <c r="D1207" s="25"/>
      <c r="E1207" s="26" t="s">
        <v>1835</v>
      </c>
      <c r="F1207" s="26"/>
      <c r="G1207" s="26"/>
      <c r="H1207" s="26"/>
      <c r="I1207" s="26"/>
      <c r="J1207" s="27" t="s">
        <v>2056</v>
      </c>
      <c r="K1207" s="27"/>
      <c r="L1207" s="27"/>
      <c r="M1207" s="27"/>
      <c r="N1207" s="28">
        <f>760</f>
        <v>760</v>
      </c>
      <c r="O1207" s="28"/>
      <c r="P1207" s="28"/>
      <c r="Q1207" s="27" t="s">
        <v>2032</v>
      </c>
      <c r="R1207" s="27"/>
      <c r="S1207" s="29" t="s">
        <v>2032</v>
      </c>
      <c r="T1207" s="29"/>
      <c r="U1207" s="29"/>
      <c r="V1207" s="29"/>
      <c r="W1207" s="30" t="s">
        <v>2032</v>
      </c>
      <c r="X1207" s="29" t="s">
        <v>2032</v>
      </c>
      <c r="Y1207" s="29"/>
      <c r="Z1207" s="29"/>
      <c r="AA1207" s="29"/>
      <c r="AB1207" s="27" t="s">
        <v>2056</v>
      </c>
      <c r="AC1207" s="27"/>
      <c r="AD1207" s="27"/>
      <c r="AE1207" s="31">
        <f>760</f>
        <v>760</v>
      </c>
      <c r="AF1207" s="31"/>
      <c r="AG1207" s="31"/>
    </row>
    <row r="1208" spans="1:33" s="1" customFormat="1" ht="18.75" customHeight="1">
      <c r="A1208" s="24" t="s">
        <v>1836</v>
      </c>
      <c r="B1208" s="25" t="s">
        <v>1837</v>
      </c>
      <c r="C1208" s="25"/>
      <c r="D1208" s="25"/>
      <c r="E1208" s="26" t="s">
        <v>1838</v>
      </c>
      <c r="F1208" s="26"/>
      <c r="G1208" s="26"/>
      <c r="H1208" s="26"/>
      <c r="I1208" s="26"/>
      <c r="J1208" s="27" t="s">
        <v>2056</v>
      </c>
      <c r="K1208" s="27"/>
      <c r="L1208" s="27"/>
      <c r="M1208" s="27"/>
      <c r="N1208" s="28">
        <f>1180</f>
        <v>1180</v>
      </c>
      <c r="O1208" s="28"/>
      <c r="P1208" s="28"/>
      <c r="Q1208" s="27" t="s">
        <v>2032</v>
      </c>
      <c r="R1208" s="27"/>
      <c r="S1208" s="29" t="s">
        <v>2032</v>
      </c>
      <c r="T1208" s="29"/>
      <c r="U1208" s="29"/>
      <c r="V1208" s="29"/>
      <c r="W1208" s="30" t="s">
        <v>2032</v>
      </c>
      <c r="X1208" s="29" t="s">
        <v>2032</v>
      </c>
      <c r="Y1208" s="29"/>
      <c r="Z1208" s="29"/>
      <c r="AA1208" s="29"/>
      <c r="AB1208" s="27" t="s">
        <v>2056</v>
      </c>
      <c r="AC1208" s="27"/>
      <c r="AD1208" s="27"/>
      <c r="AE1208" s="31">
        <f>1180</f>
        <v>1180</v>
      </c>
      <c r="AF1208" s="31"/>
      <c r="AG1208" s="31"/>
    </row>
    <row r="1209" spans="1:33" s="1" customFormat="1" ht="33" customHeight="1">
      <c r="A1209" s="24" t="s">
        <v>1839</v>
      </c>
      <c r="B1209" s="25" t="s">
        <v>1840</v>
      </c>
      <c r="C1209" s="25"/>
      <c r="D1209" s="25"/>
      <c r="E1209" s="26" t="s">
        <v>1841</v>
      </c>
      <c r="F1209" s="26"/>
      <c r="G1209" s="26"/>
      <c r="H1209" s="26"/>
      <c r="I1209" s="26"/>
      <c r="J1209" s="27" t="s">
        <v>2056</v>
      </c>
      <c r="K1209" s="27"/>
      <c r="L1209" s="27"/>
      <c r="M1209" s="27"/>
      <c r="N1209" s="28">
        <f>2100</f>
        <v>2100</v>
      </c>
      <c r="O1209" s="28"/>
      <c r="P1209" s="28"/>
      <c r="Q1209" s="27" t="s">
        <v>2032</v>
      </c>
      <c r="R1209" s="27"/>
      <c r="S1209" s="29" t="s">
        <v>2032</v>
      </c>
      <c r="T1209" s="29"/>
      <c r="U1209" s="29"/>
      <c r="V1209" s="29"/>
      <c r="W1209" s="30" t="s">
        <v>2032</v>
      </c>
      <c r="X1209" s="29" t="s">
        <v>2032</v>
      </c>
      <c r="Y1209" s="29"/>
      <c r="Z1209" s="29"/>
      <c r="AA1209" s="29"/>
      <c r="AB1209" s="27" t="s">
        <v>2056</v>
      </c>
      <c r="AC1209" s="27"/>
      <c r="AD1209" s="27"/>
      <c r="AE1209" s="31">
        <f>2100</f>
        <v>2100</v>
      </c>
      <c r="AF1209" s="31"/>
      <c r="AG1209" s="31"/>
    </row>
    <row r="1210" spans="1:33" s="1" customFormat="1" ht="33" customHeight="1">
      <c r="A1210" s="24" t="s">
        <v>1842</v>
      </c>
      <c r="B1210" s="25" t="s">
        <v>1843</v>
      </c>
      <c r="C1210" s="25"/>
      <c r="D1210" s="25"/>
      <c r="E1210" s="26" t="s">
        <v>1841</v>
      </c>
      <c r="F1210" s="26"/>
      <c r="G1210" s="26"/>
      <c r="H1210" s="26"/>
      <c r="I1210" s="26"/>
      <c r="J1210" s="27" t="s">
        <v>2056</v>
      </c>
      <c r="K1210" s="27"/>
      <c r="L1210" s="27"/>
      <c r="M1210" s="27"/>
      <c r="N1210" s="28">
        <f>2100</f>
        <v>2100</v>
      </c>
      <c r="O1210" s="28"/>
      <c r="P1210" s="28"/>
      <c r="Q1210" s="27" t="s">
        <v>2032</v>
      </c>
      <c r="R1210" s="27"/>
      <c r="S1210" s="29" t="s">
        <v>2032</v>
      </c>
      <c r="T1210" s="29"/>
      <c r="U1210" s="29"/>
      <c r="V1210" s="29"/>
      <c r="W1210" s="30" t="s">
        <v>2032</v>
      </c>
      <c r="X1210" s="29" t="s">
        <v>2032</v>
      </c>
      <c r="Y1210" s="29"/>
      <c r="Z1210" s="29"/>
      <c r="AA1210" s="29"/>
      <c r="AB1210" s="27" t="s">
        <v>2056</v>
      </c>
      <c r="AC1210" s="27"/>
      <c r="AD1210" s="27"/>
      <c r="AE1210" s="31">
        <f>2100</f>
        <v>2100</v>
      </c>
      <c r="AF1210" s="31"/>
      <c r="AG1210" s="31"/>
    </row>
    <row r="1211" spans="1:33" s="1" customFormat="1" ht="33" customHeight="1">
      <c r="A1211" s="24" t="s">
        <v>1844</v>
      </c>
      <c r="B1211" s="25" t="s">
        <v>1845</v>
      </c>
      <c r="C1211" s="25"/>
      <c r="D1211" s="25"/>
      <c r="E1211" s="26" t="s">
        <v>1841</v>
      </c>
      <c r="F1211" s="26"/>
      <c r="G1211" s="26"/>
      <c r="H1211" s="26"/>
      <c r="I1211" s="26"/>
      <c r="J1211" s="27" t="s">
        <v>2056</v>
      </c>
      <c r="K1211" s="27"/>
      <c r="L1211" s="27"/>
      <c r="M1211" s="27"/>
      <c r="N1211" s="28">
        <f>2100</f>
        <v>2100</v>
      </c>
      <c r="O1211" s="28"/>
      <c r="P1211" s="28"/>
      <c r="Q1211" s="27" t="s">
        <v>2032</v>
      </c>
      <c r="R1211" s="27"/>
      <c r="S1211" s="29" t="s">
        <v>2032</v>
      </c>
      <c r="T1211" s="29"/>
      <c r="U1211" s="29"/>
      <c r="V1211" s="29"/>
      <c r="W1211" s="30" t="s">
        <v>2032</v>
      </c>
      <c r="X1211" s="29" t="s">
        <v>2032</v>
      </c>
      <c r="Y1211" s="29"/>
      <c r="Z1211" s="29"/>
      <c r="AA1211" s="29"/>
      <c r="AB1211" s="27" t="s">
        <v>2056</v>
      </c>
      <c r="AC1211" s="27"/>
      <c r="AD1211" s="27"/>
      <c r="AE1211" s="31">
        <f>2100</f>
        <v>2100</v>
      </c>
      <c r="AF1211" s="31"/>
      <c r="AG1211" s="31"/>
    </row>
    <row r="1212" spans="1:33" s="1" customFormat="1" ht="33" customHeight="1">
      <c r="A1212" s="24" t="s">
        <v>1846</v>
      </c>
      <c r="B1212" s="25" t="s">
        <v>1847</v>
      </c>
      <c r="C1212" s="25"/>
      <c r="D1212" s="25"/>
      <c r="E1212" s="26" t="s">
        <v>1841</v>
      </c>
      <c r="F1212" s="26"/>
      <c r="G1212" s="26"/>
      <c r="H1212" s="26"/>
      <c r="I1212" s="26"/>
      <c r="J1212" s="27" t="s">
        <v>2056</v>
      </c>
      <c r="K1212" s="27"/>
      <c r="L1212" s="27"/>
      <c r="M1212" s="27"/>
      <c r="N1212" s="28">
        <f>2100</f>
        <v>2100</v>
      </c>
      <c r="O1212" s="28"/>
      <c r="P1212" s="28"/>
      <c r="Q1212" s="27" t="s">
        <v>2032</v>
      </c>
      <c r="R1212" s="27"/>
      <c r="S1212" s="29" t="s">
        <v>2032</v>
      </c>
      <c r="T1212" s="29"/>
      <c r="U1212" s="29"/>
      <c r="V1212" s="29"/>
      <c r="W1212" s="30" t="s">
        <v>2032</v>
      </c>
      <c r="X1212" s="29" t="s">
        <v>2032</v>
      </c>
      <c r="Y1212" s="29"/>
      <c r="Z1212" s="29"/>
      <c r="AA1212" s="29"/>
      <c r="AB1212" s="27" t="s">
        <v>2056</v>
      </c>
      <c r="AC1212" s="27"/>
      <c r="AD1212" s="27"/>
      <c r="AE1212" s="31">
        <f>2100</f>
        <v>2100</v>
      </c>
      <c r="AF1212" s="31"/>
      <c r="AG1212" s="31"/>
    </row>
    <row r="1213" spans="1:33" s="1" customFormat="1" ht="18.75" customHeight="1">
      <c r="A1213" s="24" t="s">
        <v>1848</v>
      </c>
      <c r="B1213" s="25" t="s">
        <v>1849</v>
      </c>
      <c r="C1213" s="25"/>
      <c r="D1213" s="25"/>
      <c r="E1213" s="26" t="s">
        <v>1850</v>
      </c>
      <c r="F1213" s="26"/>
      <c r="G1213" s="26"/>
      <c r="H1213" s="26"/>
      <c r="I1213" s="26"/>
      <c r="J1213" s="27" t="s">
        <v>2060</v>
      </c>
      <c r="K1213" s="27"/>
      <c r="L1213" s="27"/>
      <c r="M1213" s="27"/>
      <c r="N1213" s="28">
        <f>365.3</f>
        <v>365.3</v>
      </c>
      <c r="O1213" s="28"/>
      <c r="P1213" s="28"/>
      <c r="Q1213" s="27" t="s">
        <v>2032</v>
      </c>
      <c r="R1213" s="27"/>
      <c r="S1213" s="29" t="s">
        <v>2032</v>
      </c>
      <c r="T1213" s="29"/>
      <c r="U1213" s="29"/>
      <c r="V1213" s="29"/>
      <c r="W1213" s="30" t="s">
        <v>2032</v>
      </c>
      <c r="X1213" s="29" t="s">
        <v>2032</v>
      </c>
      <c r="Y1213" s="29"/>
      <c r="Z1213" s="29"/>
      <c r="AA1213" s="29"/>
      <c r="AB1213" s="27" t="s">
        <v>2060</v>
      </c>
      <c r="AC1213" s="27"/>
      <c r="AD1213" s="27"/>
      <c r="AE1213" s="31">
        <f>365.3</f>
        <v>365.3</v>
      </c>
      <c r="AF1213" s="31"/>
      <c r="AG1213" s="31"/>
    </row>
    <row r="1214" spans="1:33" s="1" customFormat="1" ht="18.75" customHeight="1">
      <c r="A1214" s="24" t="s">
        <v>1851</v>
      </c>
      <c r="B1214" s="25" t="s">
        <v>748</v>
      </c>
      <c r="C1214" s="25"/>
      <c r="D1214" s="25"/>
      <c r="E1214" s="26" t="s">
        <v>1852</v>
      </c>
      <c r="F1214" s="26"/>
      <c r="G1214" s="26"/>
      <c r="H1214" s="26"/>
      <c r="I1214" s="26"/>
      <c r="J1214" s="27" t="s">
        <v>2056</v>
      </c>
      <c r="K1214" s="27"/>
      <c r="L1214" s="27"/>
      <c r="M1214" s="27"/>
      <c r="N1214" s="28">
        <f>500</f>
        <v>500</v>
      </c>
      <c r="O1214" s="28"/>
      <c r="P1214" s="28"/>
      <c r="Q1214" s="27" t="s">
        <v>2032</v>
      </c>
      <c r="R1214" s="27"/>
      <c r="S1214" s="29" t="s">
        <v>2032</v>
      </c>
      <c r="T1214" s="29"/>
      <c r="U1214" s="29"/>
      <c r="V1214" s="29"/>
      <c r="W1214" s="30" t="s">
        <v>2032</v>
      </c>
      <c r="X1214" s="29" t="s">
        <v>2032</v>
      </c>
      <c r="Y1214" s="29"/>
      <c r="Z1214" s="29"/>
      <c r="AA1214" s="29"/>
      <c r="AB1214" s="27" t="s">
        <v>2056</v>
      </c>
      <c r="AC1214" s="27"/>
      <c r="AD1214" s="27"/>
      <c r="AE1214" s="31">
        <f>500</f>
        <v>500</v>
      </c>
      <c r="AF1214" s="31"/>
      <c r="AG1214" s="31"/>
    </row>
    <row r="1215" spans="1:33" s="1" customFormat="1" ht="18.75" customHeight="1">
      <c r="A1215" s="24" t="s">
        <v>1853</v>
      </c>
      <c r="B1215" s="25" t="s">
        <v>1854</v>
      </c>
      <c r="C1215" s="25"/>
      <c r="D1215" s="25"/>
      <c r="E1215" s="26" t="s">
        <v>1855</v>
      </c>
      <c r="F1215" s="26"/>
      <c r="G1215" s="26"/>
      <c r="H1215" s="26"/>
      <c r="I1215" s="26"/>
      <c r="J1215" s="27" t="s">
        <v>2056</v>
      </c>
      <c r="K1215" s="27"/>
      <c r="L1215" s="27"/>
      <c r="M1215" s="27"/>
      <c r="N1215" s="28">
        <f>2376.6</f>
        <v>2376.6</v>
      </c>
      <c r="O1215" s="28"/>
      <c r="P1215" s="28"/>
      <c r="Q1215" s="27" t="s">
        <v>2032</v>
      </c>
      <c r="R1215" s="27"/>
      <c r="S1215" s="29" t="s">
        <v>2032</v>
      </c>
      <c r="T1215" s="29"/>
      <c r="U1215" s="29"/>
      <c r="V1215" s="29"/>
      <c r="W1215" s="30" t="s">
        <v>2032</v>
      </c>
      <c r="X1215" s="29" t="s">
        <v>2032</v>
      </c>
      <c r="Y1215" s="29"/>
      <c r="Z1215" s="29"/>
      <c r="AA1215" s="29"/>
      <c r="AB1215" s="27" t="s">
        <v>2056</v>
      </c>
      <c r="AC1215" s="27"/>
      <c r="AD1215" s="27"/>
      <c r="AE1215" s="31">
        <f>2376.6</f>
        <v>2376.6</v>
      </c>
      <c r="AF1215" s="31"/>
      <c r="AG1215" s="31"/>
    </row>
    <row r="1216" spans="1:33" s="1" customFormat="1" ht="33" customHeight="1">
      <c r="A1216" s="24" t="s">
        <v>1856</v>
      </c>
      <c r="B1216" s="25" t="s">
        <v>1857</v>
      </c>
      <c r="C1216" s="25"/>
      <c r="D1216" s="25"/>
      <c r="E1216" s="26" t="s">
        <v>1858</v>
      </c>
      <c r="F1216" s="26"/>
      <c r="G1216" s="26"/>
      <c r="H1216" s="26"/>
      <c r="I1216" s="26"/>
      <c r="J1216" s="27" t="s">
        <v>2056</v>
      </c>
      <c r="K1216" s="27"/>
      <c r="L1216" s="27"/>
      <c r="M1216" s="27"/>
      <c r="N1216" s="28">
        <f>325</f>
        <v>325</v>
      </c>
      <c r="O1216" s="28"/>
      <c r="P1216" s="28"/>
      <c r="Q1216" s="27" t="s">
        <v>2032</v>
      </c>
      <c r="R1216" s="27"/>
      <c r="S1216" s="29" t="s">
        <v>2032</v>
      </c>
      <c r="T1216" s="29"/>
      <c r="U1216" s="29"/>
      <c r="V1216" s="29"/>
      <c r="W1216" s="30" t="s">
        <v>2032</v>
      </c>
      <c r="X1216" s="29" t="s">
        <v>2032</v>
      </c>
      <c r="Y1216" s="29"/>
      <c r="Z1216" s="29"/>
      <c r="AA1216" s="29"/>
      <c r="AB1216" s="27" t="s">
        <v>2056</v>
      </c>
      <c r="AC1216" s="27"/>
      <c r="AD1216" s="27"/>
      <c r="AE1216" s="31">
        <f>325</f>
        <v>325</v>
      </c>
      <c r="AF1216" s="31"/>
      <c r="AG1216" s="31"/>
    </row>
    <row r="1217" spans="1:33" s="1" customFormat="1" ht="18.75" customHeight="1">
      <c r="A1217" s="24" t="s">
        <v>1859</v>
      </c>
      <c r="B1217" s="25" t="s">
        <v>1860</v>
      </c>
      <c r="C1217" s="25"/>
      <c r="D1217" s="25"/>
      <c r="E1217" s="26" t="s">
        <v>1861</v>
      </c>
      <c r="F1217" s="26"/>
      <c r="G1217" s="26"/>
      <c r="H1217" s="26"/>
      <c r="I1217" s="26"/>
      <c r="J1217" s="27" t="s">
        <v>2056</v>
      </c>
      <c r="K1217" s="27"/>
      <c r="L1217" s="27"/>
      <c r="M1217" s="27"/>
      <c r="N1217" s="28">
        <f>325</f>
        <v>325</v>
      </c>
      <c r="O1217" s="28"/>
      <c r="P1217" s="28"/>
      <c r="Q1217" s="27" t="s">
        <v>2032</v>
      </c>
      <c r="R1217" s="27"/>
      <c r="S1217" s="29" t="s">
        <v>2032</v>
      </c>
      <c r="T1217" s="29"/>
      <c r="U1217" s="29"/>
      <c r="V1217" s="29"/>
      <c r="W1217" s="30" t="s">
        <v>2032</v>
      </c>
      <c r="X1217" s="29" t="s">
        <v>2032</v>
      </c>
      <c r="Y1217" s="29"/>
      <c r="Z1217" s="29"/>
      <c r="AA1217" s="29"/>
      <c r="AB1217" s="27" t="s">
        <v>2056</v>
      </c>
      <c r="AC1217" s="27"/>
      <c r="AD1217" s="27"/>
      <c r="AE1217" s="31">
        <f>325</f>
        <v>325</v>
      </c>
      <c r="AF1217" s="31"/>
      <c r="AG1217" s="31"/>
    </row>
    <row r="1218" spans="1:33" s="1" customFormat="1" ht="33" customHeight="1">
      <c r="A1218" s="24" t="s">
        <v>1862</v>
      </c>
      <c r="B1218" s="25" t="s">
        <v>1863</v>
      </c>
      <c r="C1218" s="25"/>
      <c r="D1218" s="25"/>
      <c r="E1218" s="26" t="s">
        <v>1864</v>
      </c>
      <c r="F1218" s="26"/>
      <c r="G1218" s="26"/>
      <c r="H1218" s="26"/>
      <c r="I1218" s="26"/>
      <c r="J1218" s="27" t="s">
        <v>2056</v>
      </c>
      <c r="K1218" s="27"/>
      <c r="L1218" s="27"/>
      <c r="M1218" s="27"/>
      <c r="N1218" s="28">
        <f>325</f>
        <v>325</v>
      </c>
      <c r="O1218" s="28"/>
      <c r="P1218" s="28"/>
      <c r="Q1218" s="27" t="s">
        <v>2032</v>
      </c>
      <c r="R1218" s="27"/>
      <c r="S1218" s="29" t="s">
        <v>2032</v>
      </c>
      <c r="T1218" s="29"/>
      <c r="U1218" s="29"/>
      <c r="V1218" s="29"/>
      <c r="W1218" s="30" t="s">
        <v>2032</v>
      </c>
      <c r="X1218" s="29" t="s">
        <v>2032</v>
      </c>
      <c r="Y1218" s="29"/>
      <c r="Z1218" s="29"/>
      <c r="AA1218" s="29"/>
      <c r="AB1218" s="27" t="s">
        <v>2056</v>
      </c>
      <c r="AC1218" s="27"/>
      <c r="AD1218" s="27"/>
      <c r="AE1218" s="31">
        <f>325</f>
        <v>325</v>
      </c>
      <c r="AF1218" s="31"/>
      <c r="AG1218" s="31"/>
    </row>
    <row r="1219" spans="1:33" s="1" customFormat="1" ht="33" customHeight="1">
      <c r="A1219" s="24" t="s">
        <v>1865</v>
      </c>
      <c r="B1219" s="25" t="s">
        <v>1866</v>
      </c>
      <c r="C1219" s="25"/>
      <c r="D1219" s="25"/>
      <c r="E1219" s="26" t="s">
        <v>1867</v>
      </c>
      <c r="F1219" s="26"/>
      <c r="G1219" s="26"/>
      <c r="H1219" s="26"/>
      <c r="I1219" s="26"/>
      <c r="J1219" s="27" t="s">
        <v>2056</v>
      </c>
      <c r="K1219" s="27"/>
      <c r="L1219" s="27"/>
      <c r="M1219" s="27"/>
      <c r="N1219" s="28">
        <f>170</f>
        <v>170</v>
      </c>
      <c r="O1219" s="28"/>
      <c r="P1219" s="28"/>
      <c r="Q1219" s="27" t="s">
        <v>2032</v>
      </c>
      <c r="R1219" s="27"/>
      <c r="S1219" s="29" t="s">
        <v>2032</v>
      </c>
      <c r="T1219" s="29"/>
      <c r="U1219" s="29"/>
      <c r="V1219" s="29"/>
      <c r="W1219" s="30" t="s">
        <v>2032</v>
      </c>
      <c r="X1219" s="29" t="s">
        <v>2032</v>
      </c>
      <c r="Y1219" s="29"/>
      <c r="Z1219" s="29"/>
      <c r="AA1219" s="29"/>
      <c r="AB1219" s="27" t="s">
        <v>2056</v>
      </c>
      <c r="AC1219" s="27"/>
      <c r="AD1219" s="27"/>
      <c r="AE1219" s="31">
        <f>170</f>
        <v>170</v>
      </c>
      <c r="AF1219" s="31"/>
      <c r="AG1219" s="31"/>
    </row>
    <row r="1220" spans="1:33" s="1" customFormat="1" ht="18.75" customHeight="1">
      <c r="A1220" s="24" t="s">
        <v>1868</v>
      </c>
      <c r="B1220" s="25" t="s">
        <v>1869</v>
      </c>
      <c r="C1220" s="25"/>
      <c r="D1220" s="25"/>
      <c r="E1220" s="26" t="s">
        <v>1870</v>
      </c>
      <c r="F1220" s="26"/>
      <c r="G1220" s="26"/>
      <c r="H1220" s="26"/>
      <c r="I1220" s="26"/>
      <c r="J1220" s="27" t="s">
        <v>2056</v>
      </c>
      <c r="K1220" s="27"/>
      <c r="L1220" s="27"/>
      <c r="M1220" s="27"/>
      <c r="N1220" s="28">
        <f>365.32</f>
        <v>365.32</v>
      </c>
      <c r="O1220" s="28"/>
      <c r="P1220" s="28"/>
      <c r="Q1220" s="27" t="s">
        <v>2032</v>
      </c>
      <c r="R1220" s="27"/>
      <c r="S1220" s="29" t="s">
        <v>2032</v>
      </c>
      <c r="T1220" s="29"/>
      <c r="U1220" s="29"/>
      <c r="V1220" s="29"/>
      <c r="W1220" s="30" t="s">
        <v>2032</v>
      </c>
      <c r="X1220" s="29" t="s">
        <v>2032</v>
      </c>
      <c r="Y1220" s="29"/>
      <c r="Z1220" s="29"/>
      <c r="AA1220" s="29"/>
      <c r="AB1220" s="27" t="s">
        <v>2056</v>
      </c>
      <c r="AC1220" s="27"/>
      <c r="AD1220" s="27"/>
      <c r="AE1220" s="31">
        <f>365.32</f>
        <v>365.32</v>
      </c>
      <c r="AF1220" s="31"/>
      <c r="AG1220" s="31"/>
    </row>
    <row r="1221" spans="1:33" s="1" customFormat="1" ht="33" customHeight="1">
      <c r="A1221" s="24" t="s">
        <v>1871</v>
      </c>
      <c r="B1221" s="25" t="s">
        <v>1872</v>
      </c>
      <c r="C1221" s="25"/>
      <c r="D1221" s="25"/>
      <c r="E1221" s="26" t="s">
        <v>1873</v>
      </c>
      <c r="F1221" s="26"/>
      <c r="G1221" s="26"/>
      <c r="H1221" s="26"/>
      <c r="I1221" s="26"/>
      <c r="J1221" s="27" t="s">
        <v>2144</v>
      </c>
      <c r="K1221" s="27"/>
      <c r="L1221" s="27"/>
      <c r="M1221" s="27"/>
      <c r="N1221" s="28">
        <f>85759.92</f>
        <v>85759.92</v>
      </c>
      <c r="O1221" s="28"/>
      <c r="P1221" s="28"/>
      <c r="Q1221" s="27" t="s">
        <v>2032</v>
      </c>
      <c r="R1221" s="27"/>
      <c r="S1221" s="29" t="s">
        <v>2032</v>
      </c>
      <c r="T1221" s="29"/>
      <c r="U1221" s="29"/>
      <c r="V1221" s="29"/>
      <c r="W1221" s="30" t="s">
        <v>2032</v>
      </c>
      <c r="X1221" s="29" t="s">
        <v>2032</v>
      </c>
      <c r="Y1221" s="29"/>
      <c r="Z1221" s="29"/>
      <c r="AA1221" s="29"/>
      <c r="AB1221" s="27" t="s">
        <v>2144</v>
      </c>
      <c r="AC1221" s="27"/>
      <c r="AD1221" s="27"/>
      <c r="AE1221" s="31">
        <f>85759.92</f>
        <v>85759.92</v>
      </c>
      <c r="AF1221" s="31"/>
      <c r="AG1221" s="31"/>
    </row>
    <row r="1222" spans="1:33" s="1" customFormat="1" ht="18.75" customHeight="1">
      <c r="A1222" s="24" t="s">
        <v>1874</v>
      </c>
      <c r="B1222" s="25" t="s">
        <v>3200</v>
      </c>
      <c r="C1222" s="25"/>
      <c r="D1222" s="25"/>
      <c r="E1222" s="26" t="s">
        <v>1875</v>
      </c>
      <c r="F1222" s="26"/>
      <c r="G1222" s="26"/>
      <c r="H1222" s="26"/>
      <c r="I1222" s="26"/>
      <c r="J1222" s="27" t="s">
        <v>2056</v>
      </c>
      <c r="K1222" s="27"/>
      <c r="L1222" s="27"/>
      <c r="M1222" s="27"/>
      <c r="N1222" s="28">
        <f>495.6</f>
        <v>495.6</v>
      </c>
      <c r="O1222" s="28"/>
      <c r="P1222" s="28"/>
      <c r="Q1222" s="27" t="s">
        <v>2032</v>
      </c>
      <c r="R1222" s="27"/>
      <c r="S1222" s="29" t="s">
        <v>2032</v>
      </c>
      <c r="T1222" s="29"/>
      <c r="U1222" s="29"/>
      <c r="V1222" s="29"/>
      <c r="W1222" s="30" t="s">
        <v>2032</v>
      </c>
      <c r="X1222" s="29" t="s">
        <v>2032</v>
      </c>
      <c r="Y1222" s="29"/>
      <c r="Z1222" s="29"/>
      <c r="AA1222" s="29"/>
      <c r="AB1222" s="27" t="s">
        <v>2056</v>
      </c>
      <c r="AC1222" s="27"/>
      <c r="AD1222" s="27"/>
      <c r="AE1222" s="31">
        <f>495.6</f>
        <v>495.6</v>
      </c>
      <c r="AF1222" s="31"/>
      <c r="AG1222" s="31"/>
    </row>
    <row r="1223" spans="1:33" s="1" customFormat="1" ht="61.5" customHeight="1">
      <c r="A1223" s="24" t="s">
        <v>1876</v>
      </c>
      <c r="B1223" s="25" t="s">
        <v>1877</v>
      </c>
      <c r="C1223" s="25"/>
      <c r="D1223" s="25"/>
      <c r="E1223" s="26" t="s">
        <v>1878</v>
      </c>
      <c r="F1223" s="26"/>
      <c r="G1223" s="26"/>
      <c r="H1223" s="26"/>
      <c r="I1223" s="26"/>
      <c r="J1223" s="27" t="s">
        <v>2058</v>
      </c>
      <c r="K1223" s="27"/>
      <c r="L1223" s="27"/>
      <c r="M1223" s="27"/>
      <c r="N1223" s="28">
        <f>1644</f>
        <v>1644</v>
      </c>
      <c r="O1223" s="28"/>
      <c r="P1223" s="28"/>
      <c r="Q1223" s="27" t="s">
        <v>2032</v>
      </c>
      <c r="R1223" s="27"/>
      <c r="S1223" s="29" t="s">
        <v>2032</v>
      </c>
      <c r="T1223" s="29"/>
      <c r="U1223" s="29"/>
      <c r="V1223" s="29"/>
      <c r="W1223" s="30" t="s">
        <v>2032</v>
      </c>
      <c r="X1223" s="29" t="s">
        <v>2032</v>
      </c>
      <c r="Y1223" s="29"/>
      <c r="Z1223" s="29"/>
      <c r="AA1223" s="29"/>
      <c r="AB1223" s="27" t="s">
        <v>2058</v>
      </c>
      <c r="AC1223" s="27"/>
      <c r="AD1223" s="27"/>
      <c r="AE1223" s="31">
        <f>1644</f>
        <v>1644</v>
      </c>
      <c r="AF1223" s="31"/>
      <c r="AG1223" s="31"/>
    </row>
    <row r="1224" spans="1:33" s="1" customFormat="1" ht="46.5" customHeight="1">
      <c r="A1224" s="24" t="s">
        <v>1879</v>
      </c>
      <c r="B1224" s="25" t="s">
        <v>1880</v>
      </c>
      <c r="C1224" s="25"/>
      <c r="D1224" s="25"/>
      <c r="E1224" s="26" t="s">
        <v>1881</v>
      </c>
      <c r="F1224" s="26"/>
      <c r="G1224" s="26"/>
      <c r="H1224" s="26"/>
      <c r="I1224" s="26"/>
      <c r="J1224" s="27" t="s">
        <v>2058</v>
      </c>
      <c r="K1224" s="27"/>
      <c r="L1224" s="27"/>
      <c r="M1224" s="27"/>
      <c r="N1224" s="28">
        <f>1644</f>
        <v>1644</v>
      </c>
      <c r="O1224" s="28"/>
      <c r="P1224" s="28"/>
      <c r="Q1224" s="27" t="s">
        <v>2032</v>
      </c>
      <c r="R1224" s="27"/>
      <c r="S1224" s="29" t="s">
        <v>2032</v>
      </c>
      <c r="T1224" s="29"/>
      <c r="U1224" s="29"/>
      <c r="V1224" s="29"/>
      <c r="W1224" s="30" t="s">
        <v>2032</v>
      </c>
      <c r="X1224" s="29" t="s">
        <v>2032</v>
      </c>
      <c r="Y1224" s="29"/>
      <c r="Z1224" s="29"/>
      <c r="AA1224" s="29"/>
      <c r="AB1224" s="27" t="s">
        <v>2058</v>
      </c>
      <c r="AC1224" s="27"/>
      <c r="AD1224" s="27"/>
      <c r="AE1224" s="31">
        <f>1644</f>
        <v>1644</v>
      </c>
      <c r="AF1224" s="31"/>
      <c r="AG1224" s="31"/>
    </row>
    <row r="1225" spans="1:33" s="1" customFormat="1" ht="61.5" customHeight="1">
      <c r="A1225" s="24" t="s">
        <v>1882</v>
      </c>
      <c r="B1225" s="25" t="s">
        <v>1883</v>
      </c>
      <c r="C1225" s="25"/>
      <c r="D1225" s="25"/>
      <c r="E1225" s="26" t="s">
        <v>1884</v>
      </c>
      <c r="F1225" s="26"/>
      <c r="G1225" s="26"/>
      <c r="H1225" s="26"/>
      <c r="I1225" s="26"/>
      <c r="J1225" s="27" t="s">
        <v>2058</v>
      </c>
      <c r="K1225" s="27"/>
      <c r="L1225" s="27"/>
      <c r="M1225" s="27"/>
      <c r="N1225" s="28">
        <f>1644</f>
        <v>1644</v>
      </c>
      <c r="O1225" s="28"/>
      <c r="P1225" s="28"/>
      <c r="Q1225" s="27" t="s">
        <v>2032</v>
      </c>
      <c r="R1225" s="27"/>
      <c r="S1225" s="29" t="s">
        <v>2032</v>
      </c>
      <c r="T1225" s="29"/>
      <c r="U1225" s="29"/>
      <c r="V1225" s="29"/>
      <c r="W1225" s="30" t="s">
        <v>2032</v>
      </c>
      <c r="X1225" s="29" t="s">
        <v>2032</v>
      </c>
      <c r="Y1225" s="29"/>
      <c r="Z1225" s="29"/>
      <c r="AA1225" s="29"/>
      <c r="AB1225" s="27" t="s">
        <v>2058</v>
      </c>
      <c r="AC1225" s="27"/>
      <c r="AD1225" s="27"/>
      <c r="AE1225" s="31">
        <f>1644</f>
        <v>1644</v>
      </c>
      <c r="AF1225" s="31"/>
      <c r="AG1225" s="31"/>
    </row>
    <row r="1226" spans="1:33" s="1" customFormat="1" ht="46.5" customHeight="1">
      <c r="A1226" s="24" t="s">
        <v>1885</v>
      </c>
      <c r="B1226" s="25" t="s">
        <v>1886</v>
      </c>
      <c r="C1226" s="25"/>
      <c r="D1226" s="25"/>
      <c r="E1226" s="26" t="s">
        <v>1887</v>
      </c>
      <c r="F1226" s="26"/>
      <c r="G1226" s="26"/>
      <c r="H1226" s="26"/>
      <c r="I1226" s="26"/>
      <c r="J1226" s="27" t="s">
        <v>2058</v>
      </c>
      <c r="K1226" s="27"/>
      <c r="L1226" s="27"/>
      <c r="M1226" s="27"/>
      <c r="N1226" s="28">
        <f>1035</f>
        <v>1035</v>
      </c>
      <c r="O1226" s="28"/>
      <c r="P1226" s="28"/>
      <c r="Q1226" s="27" t="s">
        <v>2032</v>
      </c>
      <c r="R1226" s="27"/>
      <c r="S1226" s="29" t="s">
        <v>2032</v>
      </c>
      <c r="T1226" s="29"/>
      <c r="U1226" s="29"/>
      <c r="V1226" s="29"/>
      <c r="W1226" s="30" t="s">
        <v>2032</v>
      </c>
      <c r="X1226" s="29" t="s">
        <v>2032</v>
      </c>
      <c r="Y1226" s="29"/>
      <c r="Z1226" s="29"/>
      <c r="AA1226" s="29"/>
      <c r="AB1226" s="27" t="s">
        <v>2058</v>
      </c>
      <c r="AC1226" s="27"/>
      <c r="AD1226" s="27"/>
      <c r="AE1226" s="31">
        <f>1035</f>
        <v>1035</v>
      </c>
      <c r="AF1226" s="31"/>
      <c r="AG1226" s="31"/>
    </row>
    <row r="1227" spans="1:33" s="1" customFormat="1" ht="46.5" customHeight="1">
      <c r="A1227" s="24" t="s">
        <v>1888</v>
      </c>
      <c r="B1227" s="25" t="s">
        <v>1889</v>
      </c>
      <c r="C1227" s="25"/>
      <c r="D1227" s="25"/>
      <c r="E1227" s="26" t="s">
        <v>1890</v>
      </c>
      <c r="F1227" s="26"/>
      <c r="G1227" s="26"/>
      <c r="H1227" s="26"/>
      <c r="I1227" s="26"/>
      <c r="J1227" s="27" t="s">
        <v>2058</v>
      </c>
      <c r="K1227" s="27"/>
      <c r="L1227" s="27"/>
      <c r="M1227" s="27"/>
      <c r="N1227" s="28">
        <f>1644</f>
        <v>1644</v>
      </c>
      <c r="O1227" s="28"/>
      <c r="P1227" s="28"/>
      <c r="Q1227" s="27" t="s">
        <v>2032</v>
      </c>
      <c r="R1227" s="27"/>
      <c r="S1227" s="29" t="s">
        <v>2032</v>
      </c>
      <c r="T1227" s="29"/>
      <c r="U1227" s="29"/>
      <c r="V1227" s="29"/>
      <c r="W1227" s="30" t="s">
        <v>2032</v>
      </c>
      <c r="X1227" s="29" t="s">
        <v>2032</v>
      </c>
      <c r="Y1227" s="29"/>
      <c r="Z1227" s="29"/>
      <c r="AA1227" s="29"/>
      <c r="AB1227" s="27" t="s">
        <v>2058</v>
      </c>
      <c r="AC1227" s="27"/>
      <c r="AD1227" s="27"/>
      <c r="AE1227" s="31">
        <f>1644</f>
        <v>1644</v>
      </c>
      <c r="AF1227" s="31"/>
      <c r="AG1227" s="31"/>
    </row>
    <row r="1228" spans="1:33" s="1" customFormat="1" ht="46.5" customHeight="1">
      <c r="A1228" s="24" t="s">
        <v>1891</v>
      </c>
      <c r="B1228" s="25" t="s">
        <v>1892</v>
      </c>
      <c r="C1228" s="25"/>
      <c r="D1228" s="25"/>
      <c r="E1228" s="26" t="s">
        <v>1893</v>
      </c>
      <c r="F1228" s="26"/>
      <c r="G1228" s="26"/>
      <c r="H1228" s="26"/>
      <c r="I1228" s="26"/>
      <c r="J1228" s="27" t="s">
        <v>2058</v>
      </c>
      <c r="K1228" s="27"/>
      <c r="L1228" s="27"/>
      <c r="M1228" s="27"/>
      <c r="N1228" s="28">
        <f>1821</f>
        <v>1821</v>
      </c>
      <c r="O1228" s="28"/>
      <c r="P1228" s="28"/>
      <c r="Q1228" s="27" t="s">
        <v>2032</v>
      </c>
      <c r="R1228" s="27"/>
      <c r="S1228" s="29" t="s">
        <v>2032</v>
      </c>
      <c r="T1228" s="29"/>
      <c r="U1228" s="29"/>
      <c r="V1228" s="29"/>
      <c r="W1228" s="30" t="s">
        <v>2032</v>
      </c>
      <c r="X1228" s="29" t="s">
        <v>2032</v>
      </c>
      <c r="Y1228" s="29"/>
      <c r="Z1228" s="29"/>
      <c r="AA1228" s="29"/>
      <c r="AB1228" s="27" t="s">
        <v>2058</v>
      </c>
      <c r="AC1228" s="27"/>
      <c r="AD1228" s="27"/>
      <c r="AE1228" s="31">
        <f>1821</f>
        <v>1821</v>
      </c>
      <c r="AF1228" s="31"/>
      <c r="AG1228" s="31"/>
    </row>
    <row r="1229" spans="1:33" s="1" customFormat="1" ht="46.5" customHeight="1">
      <c r="A1229" s="24" t="s">
        <v>1894</v>
      </c>
      <c r="B1229" s="25" t="s">
        <v>1895</v>
      </c>
      <c r="C1229" s="25"/>
      <c r="D1229" s="25"/>
      <c r="E1229" s="26" t="s">
        <v>1896</v>
      </c>
      <c r="F1229" s="26"/>
      <c r="G1229" s="26"/>
      <c r="H1229" s="26"/>
      <c r="I1229" s="26"/>
      <c r="J1229" s="27" t="s">
        <v>2058</v>
      </c>
      <c r="K1229" s="27"/>
      <c r="L1229" s="27"/>
      <c r="M1229" s="27"/>
      <c r="N1229" s="28">
        <f>1821</f>
        <v>1821</v>
      </c>
      <c r="O1229" s="28"/>
      <c r="P1229" s="28"/>
      <c r="Q1229" s="27" t="s">
        <v>2032</v>
      </c>
      <c r="R1229" s="27"/>
      <c r="S1229" s="29" t="s">
        <v>2032</v>
      </c>
      <c r="T1229" s="29"/>
      <c r="U1229" s="29"/>
      <c r="V1229" s="29"/>
      <c r="W1229" s="30" t="s">
        <v>2032</v>
      </c>
      <c r="X1229" s="29" t="s">
        <v>2032</v>
      </c>
      <c r="Y1229" s="29"/>
      <c r="Z1229" s="29"/>
      <c r="AA1229" s="29"/>
      <c r="AB1229" s="27" t="s">
        <v>2058</v>
      </c>
      <c r="AC1229" s="27"/>
      <c r="AD1229" s="27"/>
      <c r="AE1229" s="31">
        <f>1821</f>
        <v>1821</v>
      </c>
      <c r="AF1229" s="31"/>
      <c r="AG1229" s="31"/>
    </row>
    <row r="1230" spans="1:33" s="1" customFormat="1" ht="61.5" customHeight="1">
      <c r="A1230" s="24" t="s">
        <v>1897</v>
      </c>
      <c r="B1230" s="25" t="s">
        <v>1898</v>
      </c>
      <c r="C1230" s="25"/>
      <c r="D1230" s="25"/>
      <c r="E1230" s="26" t="s">
        <v>1899</v>
      </c>
      <c r="F1230" s="26"/>
      <c r="G1230" s="26"/>
      <c r="H1230" s="26"/>
      <c r="I1230" s="26"/>
      <c r="J1230" s="27" t="s">
        <v>2058</v>
      </c>
      <c r="K1230" s="27"/>
      <c r="L1230" s="27"/>
      <c r="M1230" s="27"/>
      <c r="N1230" s="28">
        <f>1821</f>
        <v>1821</v>
      </c>
      <c r="O1230" s="28"/>
      <c r="P1230" s="28"/>
      <c r="Q1230" s="27" t="s">
        <v>2032</v>
      </c>
      <c r="R1230" s="27"/>
      <c r="S1230" s="29" t="s">
        <v>2032</v>
      </c>
      <c r="T1230" s="29"/>
      <c r="U1230" s="29"/>
      <c r="V1230" s="29"/>
      <c r="W1230" s="30" t="s">
        <v>2032</v>
      </c>
      <c r="X1230" s="29" t="s">
        <v>2032</v>
      </c>
      <c r="Y1230" s="29"/>
      <c r="Z1230" s="29"/>
      <c r="AA1230" s="29"/>
      <c r="AB1230" s="27" t="s">
        <v>2058</v>
      </c>
      <c r="AC1230" s="27"/>
      <c r="AD1230" s="27"/>
      <c r="AE1230" s="31">
        <f>1821</f>
        <v>1821</v>
      </c>
      <c r="AF1230" s="31"/>
      <c r="AG1230" s="31"/>
    </row>
    <row r="1231" spans="1:33" s="1" customFormat="1" ht="46.5" customHeight="1">
      <c r="A1231" s="24" t="s">
        <v>1900</v>
      </c>
      <c r="B1231" s="25" t="s">
        <v>1901</v>
      </c>
      <c r="C1231" s="25"/>
      <c r="D1231" s="25"/>
      <c r="E1231" s="26" t="s">
        <v>1902</v>
      </c>
      <c r="F1231" s="26"/>
      <c r="G1231" s="26"/>
      <c r="H1231" s="26"/>
      <c r="I1231" s="26"/>
      <c r="J1231" s="27" t="s">
        <v>2058</v>
      </c>
      <c r="K1231" s="27"/>
      <c r="L1231" s="27"/>
      <c r="M1231" s="27"/>
      <c r="N1231" s="28">
        <f>1644</f>
        <v>1644</v>
      </c>
      <c r="O1231" s="28"/>
      <c r="P1231" s="28"/>
      <c r="Q1231" s="27" t="s">
        <v>2032</v>
      </c>
      <c r="R1231" s="27"/>
      <c r="S1231" s="29" t="s">
        <v>2032</v>
      </c>
      <c r="T1231" s="29"/>
      <c r="U1231" s="29"/>
      <c r="V1231" s="29"/>
      <c r="W1231" s="30" t="s">
        <v>2032</v>
      </c>
      <c r="X1231" s="29" t="s">
        <v>2032</v>
      </c>
      <c r="Y1231" s="29"/>
      <c r="Z1231" s="29"/>
      <c r="AA1231" s="29"/>
      <c r="AB1231" s="27" t="s">
        <v>2058</v>
      </c>
      <c r="AC1231" s="27"/>
      <c r="AD1231" s="27"/>
      <c r="AE1231" s="31">
        <f>1644</f>
        <v>1644</v>
      </c>
      <c r="AF1231" s="31"/>
      <c r="AG1231" s="31"/>
    </row>
    <row r="1232" spans="1:33" s="1" customFormat="1" ht="46.5" customHeight="1">
      <c r="A1232" s="24" t="s">
        <v>1903</v>
      </c>
      <c r="B1232" s="25" t="s">
        <v>1904</v>
      </c>
      <c r="C1232" s="25"/>
      <c r="D1232" s="25"/>
      <c r="E1232" s="26" t="s">
        <v>1905</v>
      </c>
      <c r="F1232" s="26"/>
      <c r="G1232" s="26"/>
      <c r="H1232" s="26"/>
      <c r="I1232" s="26"/>
      <c r="J1232" s="27" t="s">
        <v>2058</v>
      </c>
      <c r="K1232" s="27"/>
      <c r="L1232" s="27"/>
      <c r="M1232" s="27"/>
      <c r="N1232" s="28">
        <f>1644</f>
        <v>1644</v>
      </c>
      <c r="O1232" s="28"/>
      <c r="P1232" s="28"/>
      <c r="Q1232" s="27" t="s">
        <v>2032</v>
      </c>
      <c r="R1232" s="27"/>
      <c r="S1232" s="29" t="s">
        <v>2032</v>
      </c>
      <c r="T1232" s="29"/>
      <c r="U1232" s="29"/>
      <c r="V1232" s="29"/>
      <c r="W1232" s="30" t="s">
        <v>2032</v>
      </c>
      <c r="X1232" s="29" t="s">
        <v>2032</v>
      </c>
      <c r="Y1232" s="29"/>
      <c r="Z1232" s="29"/>
      <c r="AA1232" s="29"/>
      <c r="AB1232" s="27" t="s">
        <v>2058</v>
      </c>
      <c r="AC1232" s="27"/>
      <c r="AD1232" s="27"/>
      <c r="AE1232" s="31">
        <f>1644</f>
        <v>1644</v>
      </c>
      <c r="AF1232" s="31"/>
      <c r="AG1232" s="31"/>
    </row>
    <row r="1233" spans="1:33" s="1" customFormat="1" ht="46.5" customHeight="1">
      <c r="A1233" s="24" t="s">
        <v>1906</v>
      </c>
      <c r="B1233" s="25" t="s">
        <v>1907</v>
      </c>
      <c r="C1233" s="25"/>
      <c r="D1233" s="25"/>
      <c r="E1233" s="26" t="s">
        <v>1908</v>
      </c>
      <c r="F1233" s="26"/>
      <c r="G1233" s="26"/>
      <c r="H1233" s="26"/>
      <c r="I1233" s="26"/>
      <c r="J1233" s="27" t="s">
        <v>2058</v>
      </c>
      <c r="K1233" s="27"/>
      <c r="L1233" s="27"/>
      <c r="M1233" s="27"/>
      <c r="N1233" s="28">
        <f>1644</f>
        <v>1644</v>
      </c>
      <c r="O1233" s="28"/>
      <c r="P1233" s="28"/>
      <c r="Q1233" s="27" t="s">
        <v>2032</v>
      </c>
      <c r="R1233" s="27"/>
      <c r="S1233" s="29" t="s">
        <v>2032</v>
      </c>
      <c r="T1233" s="29"/>
      <c r="U1233" s="29"/>
      <c r="V1233" s="29"/>
      <c r="W1233" s="30" t="s">
        <v>2032</v>
      </c>
      <c r="X1233" s="29" t="s">
        <v>2032</v>
      </c>
      <c r="Y1233" s="29"/>
      <c r="Z1233" s="29"/>
      <c r="AA1233" s="29"/>
      <c r="AB1233" s="27" t="s">
        <v>2058</v>
      </c>
      <c r="AC1233" s="27"/>
      <c r="AD1233" s="27"/>
      <c r="AE1233" s="31">
        <f>1644</f>
        <v>1644</v>
      </c>
      <c r="AF1233" s="31"/>
      <c r="AG1233" s="31"/>
    </row>
    <row r="1234" spans="1:33" s="1" customFormat="1" ht="46.5" customHeight="1">
      <c r="A1234" s="24" t="s">
        <v>1909</v>
      </c>
      <c r="B1234" s="25" t="s">
        <v>1910</v>
      </c>
      <c r="C1234" s="25"/>
      <c r="D1234" s="25"/>
      <c r="E1234" s="26" t="s">
        <v>1911</v>
      </c>
      <c r="F1234" s="26"/>
      <c r="G1234" s="26"/>
      <c r="H1234" s="26"/>
      <c r="I1234" s="26"/>
      <c r="J1234" s="27" t="s">
        <v>2058</v>
      </c>
      <c r="K1234" s="27"/>
      <c r="L1234" s="27"/>
      <c r="M1234" s="27"/>
      <c r="N1234" s="28">
        <f>1644</f>
        <v>1644</v>
      </c>
      <c r="O1234" s="28"/>
      <c r="P1234" s="28"/>
      <c r="Q1234" s="27" t="s">
        <v>2032</v>
      </c>
      <c r="R1234" s="27"/>
      <c r="S1234" s="29" t="s">
        <v>2032</v>
      </c>
      <c r="T1234" s="29"/>
      <c r="U1234" s="29"/>
      <c r="V1234" s="29"/>
      <c r="W1234" s="30" t="s">
        <v>2032</v>
      </c>
      <c r="X1234" s="29" t="s">
        <v>2032</v>
      </c>
      <c r="Y1234" s="29"/>
      <c r="Z1234" s="29"/>
      <c r="AA1234" s="29"/>
      <c r="AB1234" s="27" t="s">
        <v>2058</v>
      </c>
      <c r="AC1234" s="27"/>
      <c r="AD1234" s="27"/>
      <c r="AE1234" s="31">
        <f>1644</f>
        <v>1644</v>
      </c>
      <c r="AF1234" s="31"/>
      <c r="AG1234" s="31"/>
    </row>
    <row r="1235" spans="1:33" s="1" customFormat="1" ht="46.5" customHeight="1">
      <c r="A1235" s="24" t="s">
        <v>1912</v>
      </c>
      <c r="B1235" s="25" t="s">
        <v>1913</v>
      </c>
      <c r="C1235" s="25"/>
      <c r="D1235" s="25"/>
      <c r="E1235" s="26" t="s">
        <v>1914</v>
      </c>
      <c r="F1235" s="26"/>
      <c r="G1235" s="26"/>
      <c r="H1235" s="26"/>
      <c r="I1235" s="26"/>
      <c r="J1235" s="27" t="s">
        <v>2056</v>
      </c>
      <c r="K1235" s="27"/>
      <c r="L1235" s="27"/>
      <c r="M1235" s="27"/>
      <c r="N1235" s="28">
        <f>2180</f>
        <v>2180</v>
      </c>
      <c r="O1235" s="28"/>
      <c r="P1235" s="28"/>
      <c r="Q1235" s="27" t="s">
        <v>2032</v>
      </c>
      <c r="R1235" s="27"/>
      <c r="S1235" s="29" t="s">
        <v>2032</v>
      </c>
      <c r="T1235" s="29"/>
      <c r="U1235" s="29"/>
      <c r="V1235" s="29"/>
      <c r="W1235" s="30" t="s">
        <v>2032</v>
      </c>
      <c r="X1235" s="29" t="s">
        <v>2032</v>
      </c>
      <c r="Y1235" s="29"/>
      <c r="Z1235" s="29"/>
      <c r="AA1235" s="29"/>
      <c r="AB1235" s="27" t="s">
        <v>2056</v>
      </c>
      <c r="AC1235" s="27"/>
      <c r="AD1235" s="27"/>
      <c r="AE1235" s="31">
        <f>2180</f>
        <v>2180</v>
      </c>
      <c r="AF1235" s="31"/>
      <c r="AG1235" s="31"/>
    </row>
    <row r="1236" spans="1:33" s="1" customFormat="1" ht="18.75" customHeight="1">
      <c r="A1236" s="24" t="s">
        <v>1915</v>
      </c>
      <c r="B1236" s="25" t="s">
        <v>1916</v>
      </c>
      <c r="C1236" s="25"/>
      <c r="D1236" s="25"/>
      <c r="E1236" s="26" t="s">
        <v>1917</v>
      </c>
      <c r="F1236" s="26"/>
      <c r="G1236" s="26"/>
      <c r="H1236" s="26"/>
      <c r="I1236" s="26"/>
      <c r="J1236" s="27" t="s">
        <v>2065</v>
      </c>
      <c r="K1236" s="27"/>
      <c r="L1236" s="27"/>
      <c r="M1236" s="27"/>
      <c r="N1236" s="28">
        <f>0.1</f>
        <v>0.1</v>
      </c>
      <c r="O1236" s="28"/>
      <c r="P1236" s="28"/>
      <c r="Q1236" s="27" t="s">
        <v>2032</v>
      </c>
      <c r="R1236" s="27"/>
      <c r="S1236" s="29" t="s">
        <v>2032</v>
      </c>
      <c r="T1236" s="29"/>
      <c r="U1236" s="29"/>
      <c r="V1236" s="29"/>
      <c r="W1236" s="30" t="s">
        <v>2032</v>
      </c>
      <c r="X1236" s="29" t="s">
        <v>2032</v>
      </c>
      <c r="Y1236" s="29"/>
      <c r="Z1236" s="29"/>
      <c r="AA1236" s="29"/>
      <c r="AB1236" s="27" t="s">
        <v>2065</v>
      </c>
      <c r="AC1236" s="27"/>
      <c r="AD1236" s="27"/>
      <c r="AE1236" s="31">
        <f>0.1</f>
        <v>0.1</v>
      </c>
      <c r="AF1236" s="31"/>
      <c r="AG1236" s="31"/>
    </row>
    <row r="1237" spans="1:33" s="1" customFormat="1" ht="46.5" customHeight="1">
      <c r="A1237" s="24" t="s">
        <v>1918</v>
      </c>
      <c r="B1237" s="25" t="s">
        <v>1919</v>
      </c>
      <c r="C1237" s="25"/>
      <c r="D1237" s="25"/>
      <c r="E1237" s="26" t="s">
        <v>1920</v>
      </c>
      <c r="F1237" s="26"/>
      <c r="G1237" s="26"/>
      <c r="H1237" s="26"/>
      <c r="I1237" s="26"/>
      <c r="J1237" s="27" t="s">
        <v>2056</v>
      </c>
      <c r="K1237" s="27"/>
      <c r="L1237" s="27"/>
      <c r="M1237" s="27"/>
      <c r="N1237" s="28">
        <f>325</f>
        <v>325</v>
      </c>
      <c r="O1237" s="28"/>
      <c r="P1237" s="28"/>
      <c r="Q1237" s="27" t="s">
        <v>2032</v>
      </c>
      <c r="R1237" s="27"/>
      <c r="S1237" s="29" t="s">
        <v>2032</v>
      </c>
      <c r="T1237" s="29"/>
      <c r="U1237" s="29"/>
      <c r="V1237" s="29"/>
      <c r="W1237" s="30" t="s">
        <v>2032</v>
      </c>
      <c r="X1237" s="29" t="s">
        <v>2032</v>
      </c>
      <c r="Y1237" s="29"/>
      <c r="Z1237" s="29"/>
      <c r="AA1237" s="29"/>
      <c r="AB1237" s="27" t="s">
        <v>2056</v>
      </c>
      <c r="AC1237" s="27"/>
      <c r="AD1237" s="27"/>
      <c r="AE1237" s="31">
        <f>325</f>
        <v>325</v>
      </c>
      <c r="AF1237" s="31"/>
      <c r="AG1237" s="31"/>
    </row>
    <row r="1238" spans="1:33" s="1" customFormat="1" ht="46.5" customHeight="1">
      <c r="A1238" s="24" t="s">
        <v>1921</v>
      </c>
      <c r="B1238" s="25" t="s">
        <v>1922</v>
      </c>
      <c r="C1238" s="25"/>
      <c r="D1238" s="25"/>
      <c r="E1238" s="26" t="s">
        <v>1923</v>
      </c>
      <c r="F1238" s="26"/>
      <c r="G1238" s="26"/>
      <c r="H1238" s="26"/>
      <c r="I1238" s="26"/>
      <c r="J1238" s="27" t="s">
        <v>2056</v>
      </c>
      <c r="K1238" s="27"/>
      <c r="L1238" s="27"/>
      <c r="M1238" s="27"/>
      <c r="N1238" s="28">
        <f>324.77</f>
        <v>324.77</v>
      </c>
      <c r="O1238" s="28"/>
      <c r="P1238" s="28"/>
      <c r="Q1238" s="27" t="s">
        <v>2032</v>
      </c>
      <c r="R1238" s="27"/>
      <c r="S1238" s="29" t="s">
        <v>2032</v>
      </c>
      <c r="T1238" s="29"/>
      <c r="U1238" s="29"/>
      <c r="V1238" s="29"/>
      <c r="W1238" s="30" t="s">
        <v>2032</v>
      </c>
      <c r="X1238" s="29" t="s">
        <v>2032</v>
      </c>
      <c r="Y1238" s="29"/>
      <c r="Z1238" s="29"/>
      <c r="AA1238" s="29"/>
      <c r="AB1238" s="27" t="s">
        <v>2056</v>
      </c>
      <c r="AC1238" s="27"/>
      <c r="AD1238" s="27"/>
      <c r="AE1238" s="31">
        <f>324.77</f>
        <v>324.77</v>
      </c>
      <c r="AF1238" s="31"/>
      <c r="AG1238" s="31"/>
    </row>
    <row r="1239" spans="1:33" s="1" customFormat="1" ht="46.5" customHeight="1">
      <c r="A1239" s="24" t="s">
        <v>1924</v>
      </c>
      <c r="B1239" s="25" t="s">
        <v>1925</v>
      </c>
      <c r="C1239" s="25"/>
      <c r="D1239" s="25"/>
      <c r="E1239" s="26" t="s">
        <v>1926</v>
      </c>
      <c r="F1239" s="26"/>
      <c r="G1239" s="26"/>
      <c r="H1239" s="26"/>
      <c r="I1239" s="26"/>
      <c r="J1239" s="27" t="s">
        <v>2056</v>
      </c>
      <c r="K1239" s="27"/>
      <c r="L1239" s="27"/>
      <c r="M1239" s="27"/>
      <c r="N1239" s="28">
        <f>325</f>
        <v>325</v>
      </c>
      <c r="O1239" s="28"/>
      <c r="P1239" s="28"/>
      <c r="Q1239" s="27" t="s">
        <v>2032</v>
      </c>
      <c r="R1239" s="27"/>
      <c r="S1239" s="29" t="s">
        <v>2032</v>
      </c>
      <c r="T1239" s="29"/>
      <c r="U1239" s="29"/>
      <c r="V1239" s="29"/>
      <c r="W1239" s="30" t="s">
        <v>2032</v>
      </c>
      <c r="X1239" s="29" t="s">
        <v>2032</v>
      </c>
      <c r="Y1239" s="29"/>
      <c r="Z1239" s="29"/>
      <c r="AA1239" s="29"/>
      <c r="AB1239" s="27" t="s">
        <v>2056</v>
      </c>
      <c r="AC1239" s="27"/>
      <c r="AD1239" s="27"/>
      <c r="AE1239" s="31">
        <f>325</f>
        <v>325</v>
      </c>
      <c r="AF1239" s="31"/>
      <c r="AG1239" s="31"/>
    </row>
    <row r="1240" spans="1:33" s="1" customFormat="1" ht="33" customHeight="1">
      <c r="A1240" s="24" t="s">
        <v>1927</v>
      </c>
      <c r="B1240" s="25" t="s">
        <v>1928</v>
      </c>
      <c r="C1240" s="25"/>
      <c r="D1240" s="25"/>
      <c r="E1240" s="26" t="s">
        <v>1929</v>
      </c>
      <c r="F1240" s="26"/>
      <c r="G1240" s="26"/>
      <c r="H1240" s="26"/>
      <c r="I1240" s="26"/>
      <c r="J1240" s="27" t="s">
        <v>2058</v>
      </c>
      <c r="K1240" s="27"/>
      <c r="L1240" s="27"/>
      <c r="M1240" s="27"/>
      <c r="N1240" s="28">
        <f>4960</f>
        <v>4960</v>
      </c>
      <c r="O1240" s="28"/>
      <c r="P1240" s="28"/>
      <c r="Q1240" s="27" t="s">
        <v>2032</v>
      </c>
      <c r="R1240" s="27"/>
      <c r="S1240" s="29" t="s">
        <v>2032</v>
      </c>
      <c r="T1240" s="29"/>
      <c r="U1240" s="29"/>
      <c r="V1240" s="29"/>
      <c r="W1240" s="30" t="s">
        <v>2032</v>
      </c>
      <c r="X1240" s="29" t="s">
        <v>2032</v>
      </c>
      <c r="Y1240" s="29"/>
      <c r="Z1240" s="29"/>
      <c r="AA1240" s="29"/>
      <c r="AB1240" s="27" t="s">
        <v>2058</v>
      </c>
      <c r="AC1240" s="27"/>
      <c r="AD1240" s="27"/>
      <c r="AE1240" s="31">
        <f>4960</f>
        <v>4960</v>
      </c>
      <c r="AF1240" s="31"/>
      <c r="AG1240" s="31"/>
    </row>
    <row r="1241" spans="1:33" s="1" customFormat="1" ht="33" customHeight="1">
      <c r="A1241" s="24" t="s">
        <v>1930</v>
      </c>
      <c r="B1241" s="25" t="s">
        <v>1931</v>
      </c>
      <c r="C1241" s="25"/>
      <c r="D1241" s="25"/>
      <c r="E1241" s="26" t="s">
        <v>1932</v>
      </c>
      <c r="F1241" s="26"/>
      <c r="G1241" s="26"/>
      <c r="H1241" s="26"/>
      <c r="I1241" s="26"/>
      <c r="J1241" s="27" t="s">
        <v>2056</v>
      </c>
      <c r="K1241" s="27"/>
      <c r="L1241" s="27"/>
      <c r="M1241" s="27"/>
      <c r="N1241" s="28">
        <f>320</f>
        <v>320</v>
      </c>
      <c r="O1241" s="28"/>
      <c r="P1241" s="28"/>
      <c r="Q1241" s="27" t="s">
        <v>2032</v>
      </c>
      <c r="R1241" s="27"/>
      <c r="S1241" s="29" t="s">
        <v>2032</v>
      </c>
      <c r="T1241" s="29"/>
      <c r="U1241" s="29"/>
      <c r="V1241" s="29"/>
      <c r="W1241" s="30" t="s">
        <v>2032</v>
      </c>
      <c r="X1241" s="29" t="s">
        <v>2032</v>
      </c>
      <c r="Y1241" s="29"/>
      <c r="Z1241" s="29"/>
      <c r="AA1241" s="29"/>
      <c r="AB1241" s="27" t="s">
        <v>2056</v>
      </c>
      <c r="AC1241" s="27"/>
      <c r="AD1241" s="27"/>
      <c r="AE1241" s="31">
        <f>320</f>
        <v>320</v>
      </c>
      <c r="AF1241" s="31"/>
      <c r="AG1241" s="31"/>
    </row>
    <row r="1242" spans="1:33" s="1" customFormat="1" ht="33" customHeight="1">
      <c r="A1242" s="24" t="s">
        <v>1933</v>
      </c>
      <c r="B1242" s="25" t="s">
        <v>1934</v>
      </c>
      <c r="C1242" s="25"/>
      <c r="D1242" s="25"/>
      <c r="E1242" s="26" t="s">
        <v>1935</v>
      </c>
      <c r="F1242" s="26"/>
      <c r="G1242" s="26"/>
      <c r="H1242" s="26"/>
      <c r="I1242" s="26"/>
      <c r="J1242" s="27" t="s">
        <v>2061</v>
      </c>
      <c r="K1242" s="27"/>
      <c r="L1242" s="27"/>
      <c r="M1242" s="27"/>
      <c r="N1242" s="28">
        <f>4194</f>
        <v>4194</v>
      </c>
      <c r="O1242" s="28"/>
      <c r="P1242" s="28"/>
      <c r="Q1242" s="27" t="s">
        <v>2032</v>
      </c>
      <c r="R1242" s="27"/>
      <c r="S1242" s="29" t="s">
        <v>2032</v>
      </c>
      <c r="T1242" s="29"/>
      <c r="U1242" s="29"/>
      <c r="V1242" s="29"/>
      <c r="W1242" s="30" t="s">
        <v>2032</v>
      </c>
      <c r="X1242" s="29" t="s">
        <v>2032</v>
      </c>
      <c r="Y1242" s="29"/>
      <c r="Z1242" s="29"/>
      <c r="AA1242" s="29"/>
      <c r="AB1242" s="27" t="s">
        <v>2061</v>
      </c>
      <c r="AC1242" s="27"/>
      <c r="AD1242" s="27"/>
      <c r="AE1242" s="31">
        <f>4194</f>
        <v>4194</v>
      </c>
      <c r="AF1242" s="31"/>
      <c r="AG1242" s="31"/>
    </row>
    <row r="1243" spans="1:33" s="1" customFormat="1" ht="33" customHeight="1">
      <c r="A1243" s="24" t="s">
        <v>1936</v>
      </c>
      <c r="B1243" s="25" t="s">
        <v>1937</v>
      </c>
      <c r="C1243" s="25"/>
      <c r="D1243" s="25"/>
      <c r="E1243" s="26" t="s">
        <v>1938</v>
      </c>
      <c r="F1243" s="26"/>
      <c r="G1243" s="26"/>
      <c r="H1243" s="26"/>
      <c r="I1243" s="26"/>
      <c r="J1243" s="27" t="s">
        <v>2056</v>
      </c>
      <c r="K1243" s="27"/>
      <c r="L1243" s="27"/>
      <c r="M1243" s="27"/>
      <c r="N1243" s="28">
        <f>438</f>
        <v>438</v>
      </c>
      <c r="O1243" s="28"/>
      <c r="P1243" s="28"/>
      <c r="Q1243" s="27" t="s">
        <v>2032</v>
      </c>
      <c r="R1243" s="27"/>
      <c r="S1243" s="29" t="s">
        <v>2032</v>
      </c>
      <c r="T1243" s="29"/>
      <c r="U1243" s="29"/>
      <c r="V1243" s="29"/>
      <c r="W1243" s="30" t="s">
        <v>2032</v>
      </c>
      <c r="X1243" s="29" t="s">
        <v>2032</v>
      </c>
      <c r="Y1243" s="29"/>
      <c r="Z1243" s="29"/>
      <c r="AA1243" s="29"/>
      <c r="AB1243" s="27" t="s">
        <v>2056</v>
      </c>
      <c r="AC1243" s="27"/>
      <c r="AD1243" s="27"/>
      <c r="AE1243" s="31">
        <f>438</f>
        <v>438</v>
      </c>
      <c r="AF1243" s="31"/>
      <c r="AG1243" s="31"/>
    </row>
    <row r="1244" spans="1:33" s="1" customFormat="1" ht="33" customHeight="1">
      <c r="A1244" s="24" t="s">
        <v>1939</v>
      </c>
      <c r="B1244" s="25" t="s">
        <v>1931</v>
      </c>
      <c r="C1244" s="25"/>
      <c r="D1244" s="25"/>
      <c r="E1244" s="26" t="s">
        <v>1940</v>
      </c>
      <c r="F1244" s="26"/>
      <c r="G1244" s="26"/>
      <c r="H1244" s="26"/>
      <c r="I1244" s="26"/>
      <c r="J1244" s="27" t="s">
        <v>2056</v>
      </c>
      <c r="K1244" s="27"/>
      <c r="L1244" s="27"/>
      <c r="M1244" s="27"/>
      <c r="N1244" s="28">
        <f>1126.77</f>
        <v>1126.77</v>
      </c>
      <c r="O1244" s="28"/>
      <c r="P1244" s="28"/>
      <c r="Q1244" s="27" t="s">
        <v>2032</v>
      </c>
      <c r="R1244" s="27"/>
      <c r="S1244" s="29" t="s">
        <v>2032</v>
      </c>
      <c r="T1244" s="29"/>
      <c r="U1244" s="29"/>
      <c r="V1244" s="29"/>
      <c r="W1244" s="30" t="s">
        <v>2032</v>
      </c>
      <c r="X1244" s="29" t="s">
        <v>2032</v>
      </c>
      <c r="Y1244" s="29"/>
      <c r="Z1244" s="29"/>
      <c r="AA1244" s="29"/>
      <c r="AB1244" s="27" t="s">
        <v>2056</v>
      </c>
      <c r="AC1244" s="27"/>
      <c r="AD1244" s="27"/>
      <c r="AE1244" s="31">
        <f>1126.77</f>
        <v>1126.77</v>
      </c>
      <c r="AF1244" s="31"/>
      <c r="AG1244" s="31"/>
    </row>
    <row r="1245" spans="1:33" s="1" customFormat="1" ht="18.75" customHeight="1">
      <c r="A1245" s="24" t="s">
        <v>1941</v>
      </c>
      <c r="B1245" s="25" t="s">
        <v>2564</v>
      </c>
      <c r="C1245" s="25"/>
      <c r="D1245" s="25"/>
      <c r="E1245" s="26" t="s">
        <v>1942</v>
      </c>
      <c r="F1245" s="26"/>
      <c r="G1245" s="26"/>
      <c r="H1245" s="26"/>
      <c r="I1245" s="26"/>
      <c r="J1245" s="27" t="s">
        <v>2057</v>
      </c>
      <c r="K1245" s="27"/>
      <c r="L1245" s="27"/>
      <c r="M1245" s="27"/>
      <c r="N1245" s="28">
        <f>309.52</f>
        <v>309.52</v>
      </c>
      <c r="O1245" s="28"/>
      <c r="P1245" s="28"/>
      <c r="Q1245" s="27" t="s">
        <v>2032</v>
      </c>
      <c r="R1245" s="27"/>
      <c r="S1245" s="29" t="s">
        <v>2032</v>
      </c>
      <c r="T1245" s="29"/>
      <c r="U1245" s="29"/>
      <c r="V1245" s="29"/>
      <c r="W1245" s="30" t="s">
        <v>2032</v>
      </c>
      <c r="X1245" s="29" t="s">
        <v>2032</v>
      </c>
      <c r="Y1245" s="29"/>
      <c r="Z1245" s="29"/>
      <c r="AA1245" s="29"/>
      <c r="AB1245" s="27" t="s">
        <v>2057</v>
      </c>
      <c r="AC1245" s="27"/>
      <c r="AD1245" s="27"/>
      <c r="AE1245" s="31">
        <f>309.52</f>
        <v>309.52</v>
      </c>
      <c r="AF1245" s="31"/>
      <c r="AG1245" s="31"/>
    </row>
    <row r="1246" spans="1:33" s="1" customFormat="1" ht="18.75" customHeight="1">
      <c r="A1246" s="24" t="s">
        <v>1943</v>
      </c>
      <c r="B1246" s="25" t="s">
        <v>1944</v>
      </c>
      <c r="C1246" s="25"/>
      <c r="D1246" s="25"/>
      <c r="E1246" s="26" t="s">
        <v>1945</v>
      </c>
      <c r="F1246" s="26"/>
      <c r="G1246" s="26"/>
      <c r="H1246" s="26"/>
      <c r="I1246" s="26"/>
      <c r="J1246" s="27" t="s">
        <v>2056</v>
      </c>
      <c r="K1246" s="27"/>
      <c r="L1246" s="27"/>
      <c r="M1246" s="27"/>
      <c r="N1246" s="28">
        <f>73.06</f>
        <v>73.06</v>
      </c>
      <c r="O1246" s="28"/>
      <c r="P1246" s="28"/>
      <c r="Q1246" s="27" t="s">
        <v>2032</v>
      </c>
      <c r="R1246" s="27"/>
      <c r="S1246" s="29" t="s">
        <v>2032</v>
      </c>
      <c r="T1246" s="29"/>
      <c r="U1246" s="29"/>
      <c r="V1246" s="29"/>
      <c r="W1246" s="30" t="s">
        <v>2032</v>
      </c>
      <c r="X1246" s="29" t="s">
        <v>2032</v>
      </c>
      <c r="Y1246" s="29"/>
      <c r="Z1246" s="29"/>
      <c r="AA1246" s="29"/>
      <c r="AB1246" s="27" t="s">
        <v>2056</v>
      </c>
      <c r="AC1246" s="27"/>
      <c r="AD1246" s="27"/>
      <c r="AE1246" s="31">
        <f>73.06</f>
        <v>73.06</v>
      </c>
      <c r="AF1246" s="31"/>
      <c r="AG1246" s="31"/>
    </row>
    <row r="1247" spans="1:33" s="1" customFormat="1" ht="18.75" customHeight="1">
      <c r="A1247" s="24" t="s">
        <v>1946</v>
      </c>
      <c r="B1247" s="25" t="s">
        <v>1947</v>
      </c>
      <c r="C1247" s="25"/>
      <c r="D1247" s="25"/>
      <c r="E1247" s="26" t="s">
        <v>1948</v>
      </c>
      <c r="F1247" s="26"/>
      <c r="G1247" s="26"/>
      <c r="H1247" s="26"/>
      <c r="I1247" s="26"/>
      <c r="J1247" s="27" t="s">
        <v>2056</v>
      </c>
      <c r="K1247" s="27"/>
      <c r="L1247" s="27"/>
      <c r="M1247" s="27"/>
      <c r="N1247" s="28">
        <f>73.06</f>
        <v>73.06</v>
      </c>
      <c r="O1247" s="28"/>
      <c r="P1247" s="28"/>
      <c r="Q1247" s="27" t="s">
        <v>2032</v>
      </c>
      <c r="R1247" s="27"/>
      <c r="S1247" s="29" t="s">
        <v>2032</v>
      </c>
      <c r="T1247" s="29"/>
      <c r="U1247" s="29"/>
      <c r="V1247" s="29"/>
      <c r="W1247" s="30" t="s">
        <v>2032</v>
      </c>
      <c r="X1247" s="29" t="s">
        <v>2032</v>
      </c>
      <c r="Y1247" s="29"/>
      <c r="Z1247" s="29"/>
      <c r="AA1247" s="29"/>
      <c r="AB1247" s="27" t="s">
        <v>2056</v>
      </c>
      <c r="AC1247" s="27"/>
      <c r="AD1247" s="27"/>
      <c r="AE1247" s="31">
        <f>73.06</f>
        <v>73.06</v>
      </c>
      <c r="AF1247" s="31"/>
      <c r="AG1247" s="31"/>
    </row>
    <row r="1248" spans="1:33" s="1" customFormat="1" ht="18.75" customHeight="1">
      <c r="A1248" s="24" t="s">
        <v>1949</v>
      </c>
      <c r="B1248" s="25" t="s">
        <v>3671</v>
      </c>
      <c r="C1248" s="25"/>
      <c r="D1248" s="25"/>
      <c r="E1248" s="26" t="s">
        <v>1950</v>
      </c>
      <c r="F1248" s="26"/>
      <c r="G1248" s="26"/>
      <c r="H1248" s="26"/>
      <c r="I1248" s="26"/>
      <c r="J1248" s="27" t="s">
        <v>2058</v>
      </c>
      <c r="K1248" s="27"/>
      <c r="L1248" s="27"/>
      <c r="M1248" s="27"/>
      <c r="N1248" s="28">
        <f>1500</f>
        <v>1500</v>
      </c>
      <c r="O1248" s="28"/>
      <c r="P1248" s="28"/>
      <c r="Q1248" s="27" t="s">
        <v>2032</v>
      </c>
      <c r="R1248" s="27"/>
      <c r="S1248" s="29" t="s">
        <v>2032</v>
      </c>
      <c r="T1248" s="29"/>
      <c r="U1248" s="29"/>
      <c r="V1248" s="29"/>
      <c r="W1248" s="30" t="s">
        <v>2032</v>
      </c>
      <c r="X1248" s="29" t="s">
        <v>2032</v>
      </c>
      <c r="Y1248" s="29"/>
      <c r="Z1248" s="29"/>
      <c r="AA1248" s="29"/>
      <c r="AB1248" s="27" t="s">
        <v>2058</v>
      </c>
      <c r="AC1248" s="27"/>
      <c r="AD1248" s="27"/>
      <c r="AE1248" s="31">
        <f>1500</f>
        <v>1500</v>
      </c>
      <c r="AF1248" s="31"/>
      <c r="AG1248" s="31"/>
    </row>
    <row r="1249" spans="1:33" s="1" customFormat="1" ht="18.75" customHeight="1">
      <c r="A1249" s="24" t="s">
        <v>1951</v>
      </c>
      <c r="B1249" s="25" t="s">
        <v>1952</v>
      </c>
      <c r="C1249" s="25"/>
      <c r="D1249" s="25"/>
      <c r="E1249" s="26" t="s">
        <v>1953</v>
      </c>
      <c r="F1249" s="26"/>
      <c r="G1249" s="26"/>
      <c r="H1249" s="26"/>
      <c r="I1249" s="26"/>
      <c r="J1249" s="27" t="s">
        <v>2056</v>
      </c>
      <c r="K1249" s="27"/>
      <c r="L1249" s="27"/>
      <c r="M1249" s="27"/>
      <c r="N1249" s="28">
        <f>73.06</f>
        <v>73.06</v>
      </c>
      <c r="O1249" s="28"/>
      <c r="P1249" s="28"/>
      <c r="Q1249" s="27" t="s">
        <v>2032</v>
      </c>
      <c r="R1249" s="27"/>
      <c r="S1249" s="29" t="s">
        <v>2032</v>
      </c>
      <c r="T1249" s="29"/>
      <c r="U1249" s="29"/>
      <c r="V1249" s="29"/>
      <c r="W1249" s="30" t="s">
        <v>2032</v>
      </c>
      <c r="X1249" s="29" t="s">
        <v>2032</v>
      </c>
      <c r="Y1249" s="29"/>
      <c r="Z1249" s="29"/>
      <c r="AA1249" s="29"/>
      <c r="AB1249" s="27" t="s">
        <v>2056</v>
      </c>
      <c r="AC1249" s="27"/>
      <c r="AD1249" s="27"/>
      <c r="AE1249" s="31">
        <f>73.06</f>
        <v>73.06</v>
      </c>
      <c r="AF1249" s="31"/>
      <c r="AG1249" s="31"/>
    </row>
    <row r="1250" spans="1:33" s="1" customFormat="1" ht="18.75" customHeight="1">
      <c r="A1250" s="24" t="s">
        <v>1954</v>
      </c>
      <c r="B1250" s="25" t="s">
        <v>1955</v>
      </c>
      <c r="C1250" s="25"/>
      <c r="D1250" s="25"/>
      <c r="E1250" s="26" t="s">
        <v>1956</v>
      </c>
      <c r="F1250" s="26"/>
      <c r="G1250" s="26"/>
      <c r="H1250" s="26"/>
      <c r="I1250" s="26"/>
      <c r="J1250" s="27" t="s">
        <v>2056</v>
      </c>
      <c r="K1250" s="27"/>
      <c r="L1250" s="27"/>
      <c r="M1250" s="27"/>
      <c r="N1250" s="28">
        <f>243.55</f>
        <v>243.55</v>
      </c>
      <c r="O1250" s="28"/>
      <c r="P1250" s="28"/>
      <c r="Q1250" s="27" t="s">
        <v>2032</v>
      </c>
      <c r="R1250" s="27"/>
      <c r="S1250" s="29" t="s">
        <v>2032</v>
      </c>
      <c r="T1250" s="29"/>
      <c r="U1250" s="29"/>
      <c r="V1250" s="29"/>
      <c r="W1250" s="30" t="s">
        <v>2032</v>
      </c>
      <c r="X1250" s="29" t="s">
        <v>2032</v>
      </c>
      <c r="Y1250" s="29"/>
      <c r="Z1250" s="29"/>
      <c r="AA1250" s="29"/>
      <c r="AB1250" s="27" t="s">
        <v>2056</v>
      </c>
      <c r="AC1250" s="27"/>
      <c r="AD1250" s="27"/>
      <c r="AE1250" s="31">
        <f>243.55</f>
        <v>243.55</v>
      </c>
      <c r="AF1250" s="31"/>
      <c r="AG1250" s="31"/>
    </row>
    <row r="1251" spans="1:33" s="1" customFormat="1" ht="18.75" customHeight="1">
      <c r="A1251" s="24" t="s">
        <v>1957</v>
      </c>
      <c r="B1251" s="25" t="s">
        <v>1490</v>
      </c>
      <c r="C1251" s="25"/>
      <c r="D1251" s="25"/>
      <c r="E1251" s="26" t="s">
        <v>1958</v>
      </c>
      <c r="F1251" s="26"/>
      <c r="G1251" s="26"/>
      <c r="H1251" s="26"/>
      <c r="I1251" s="26"/>
      <c r="J1251" s="27" t="s">
        <v>2056</v>
      </c>
      <c r="K1251" s="27"/>
      <c r="L1251" s="27"/>
      <c r="M1251" s="27"/>
      <c r="N1251" s="28">
        <f>851.5</f>
        <v>851.5</v>
      </c>
      <c r="O1251" s="28"/>
      <c r="P1251" s="28"/>
      <c r="Q1251" s="27" t="s">
        <v>2032</v>
      </c>
      <c r="R1251" s="27"/>
      <c r="S1251" s="29" t="s">
        <v>2032</v>
      </c>
      <c r="T1251" s="29"/>
      <c r="U1251" s="29"/>
      <c r="V1251" s="29"/>
      <c r="W1251" s="30" t="s">
        <v>2032</v>
      </c>
      <c r="X1251" s="29" t="s">
        <v>2032</v>
      </c>
      <c r="Y1251" s="29"/>
      <c r="Z1251" s="29"/>
      <c r="AA1251" s="29"/>
      <c r="AB1251" s="27" t="s">
        <v>2056</v>
      </c>
      <c r="AC1251" s="27"/>
      <c r="AD1251" s="27"/>
      <c r="AE1251" s="31">
        <f>851.5</f>
        <v>851.5</v>
      </c>
      <c r="AF1251" s="31"/>
      <c r="AG1251" s="31"/>
    </row>
    <row r="1252" spans="1:33" s="1" customFormat="1" ht="18.75" customHeight="1">
      <c r="A1252" s="24" t="s">
        <v>1959</v>
      </c>
      <c r="B1252" s="25" t="s">
        <v>1960</v>
      </c>
      <c r="C1252" s="25"/>
      <c r="D1252" s="25"/>
      <c r="E1252" s="26" t="s">
        <v>1961</v>
      </c>
      <c r="F1252" s="26"/>
      <c r="G1252" s="26"/>
      <c r="H1252" s="26"/>
      <c r="I1252" s="26"/>
      <c r="J1252" s="27" t="s">
        <v>2056</v>
      </c>
      <c r="K1252" s="27"/>
      <c r="L1252" s="27"/>
      <c r="M1252" s="27"/>
      <c r="N1252" s="28">
        <f>73.06</f>
        <v>73.06</v>
      </c>
      <c r="O1252" s="28"/>
      <c r="P1252" s="28"/>
      <c r="Q1252" s="27" t="s">
        <v>2032</v>
      </c>
      <c r="R1252" s="27"/>
      <c r="S1252" s="29" t="s">
        <v>2032</v>
      </c>
      <c r="T1252" s="29"/>
      <c r="U1252" s="29"/>
      <c r="V1252" s="29"/>
      <c r="W1252" s="30" t="s">
        <v>2032</v>
      </c>
      <c r="X1252" s="29" t="s">
        <v>2032</v>
      </c>
      <c r="Y1252" s="29"/>
      <c r="Z1252" s="29"/>
      <c r="AA1252" s="29"/>
      <c r="AB1252" s="27" t="s">
        <v>2056</v>
      </c>
      <c r="AC1252" s="27"/>
      <c r="AD1252" s="27"/>
      <c r="AE1252" s="31">
        <f>73.06</f>
        <v>73.06</v>
      </c>
      <c r="AF1252" s="31"/>
      <c r="AG1252" s="31"/>
    </row>
    <row r="1253" spans="1:33" s="1" customFormat="1" ht="46.5" customHeight="1">
      <c r="A1253" s="24" t="s">
        <v>1962</v>
      </c>
      <c r="B1253" s="25" t="s">
        <v>1963</v>
      </c>
      <c r="C1253" s="25"/>
      <c r="D1253" s="25"/>
      <c r="E1253" s="26" t="s">
        <v>1964</v>
      </c>
      <c r="F1253" s="26"/>
      <c r="G1253" s="26"/>
      <c r="H1253" s="26"/>
      <c r="I1253" s="26"/>
      <c r="J1253" s="27" t="s">
        <v>2056</v>
      </c>
      <c r="K1253" s="27"/>
      <c r="L1253" s="27"/>
      <c r="M1253" s="27"/>
      <c r="N1253" s="28">
        <f>325</f>
        <v>325</v>
      </c>
      <c r="O1253" s="28"/>
      <c r="P1253" s="28"/>
      <c r="Q1253" s="27" t="s">
        <v>2032</v>
      </c>
      <c r="R1253" s="27"/>
      <c r="S1253" s="29" t="s">
        <v>2032</v>
      </c>
      <c r="T1253" s="29"/>
      <c r="U1253" s="29"/>
      <c r="V1253" s="29"/>
      <c r="W1253" s="30" t="s">
        <v>2032</v>
      </c>
      <c r="X1253" s="29" t="s">
        <v>2032</v>
      </c>
      <c r="Y1253" s="29"/>
      <c r="Z1253" s="29"/>
      <c r="AA1253" s="29"/>
      <c r="AB1253" s="27" t="s">
        <v>2056</v>
      </c>
      <c r="AC1253" s="27"/>
      <c r="AD1253" s="27"/>
      <c r="AE1253" s="31">
        <f>325</f>
        <v>325</v>
      </c>
      <c r="AF1253" s="31"/>
      <c r="AG1253" s="31"/>
    </row>
    <row r="1254" spans="1:33" s="1" customFormat="1" ht="18.75" customHeight="1">
      <c r="A1254" s="24" t="s">
        <v>1965</v>
      </c>
      <c r="B1254" s="25" t="s">
        <v>1966</v>
      </c>
      <c r="C1254" s="25"/>
      <c r="D1254" s="25"/>
      <c r="E1254" s="26" t="s">
        <v>1967</v>
      </c>
      <c r="F1254" s="26"/>
      <c r="G1254" s="26"/>
      <c r="H1254" s="26"/>
      <c r="I1254" s="26"/>
      <c r="J1254" s="27" t="s">
        <v>2056</v>
      </c>
      <c r="K1254" s="27"/>
      <c r="L1254" s="27"/>
      <c r="M1254" s="27"/>
      <c r="N1254" s="28">
        <f>2432.05</f>
        <v>2432.05</v>
      </c>
      <c r="O1254" s="28"/>
      <c r="P1254" s="28"/>
      <c r="Q1254" s="27" t="s">
        <v>2032</v>
      </c>
      <c r="R1254" s="27"/>
      <c r="S1254" s="29" t="s">
        <v>2032</v>
      </c>
      <c r="T1254" s="29"/>
      <c r="U1254" s="29"/>
      <c r="V1254" s="29"/>
      <c r="W1254" s="30" t="s">
        <v>2032</v>
      </c>
      <c r="X1254" s="29" t="s">
        <v>2032</v>
      </c>
      <c r="Y1254" s="29"/>
      <c r="Z1254" s="29"/>
      <c r="AA1254" s="29"/>
      <c r="AB1254" s="27" t="s">
        <v>2056</v>
      </c>
      <c r="AC1254" s="27"/>
      <c r="AD1254" s="27"/>
      <c r="AE1254" s="31">
        <f>2432.05</f>
        <v>2432.05</v>
      </c>
      <c r="AF1254" s="31"/>
      <c r="AG1254" s="31"/>
    </row>
    <row r="1255" spans="1:33" s="1" customFormat="1" ht="18.75" customHeight="1">
      <c r="A1255" s="24" t="s">
        <v>1968</v>
      </c>
      <c r="B1255" s="25" t="s">
        <v>1969</v>
      </c>
      <c r="C1255" s="25"/>
      <c r="D1255" s="25"/>
      <c r="E1255" s="26" t="s">
        <v>1970</v>
      </c>
      <c r="F1255" s="26"/>
      <c r="G1255" s="26"/>
      <c r="H1255" s="26"/>
      <c r="I1255" s="26"/>
      <c r="J1255" s="27" t="s">
        <v>2056</v>
      </c>
      <c r="K1255" s="27"/>
      <c r="L1255" s="27"/>
      <c r="M1255" s="27"/>
      <c r="N1255" s="28">
        <f>100</f>
        <v>100</v>
      </c>
      <c r="O1255" s="28"/>
      <c r="P1255" s="28"/>
      <c r="Q1255" s="27" t="s">
        <v>2032</v>
      </c>
      <c r="R1255" s="27"/>
      <c r="S1255" s="29" t="s">
        <v>2032</v>
      </c>
      <c r="T1255" s="29"/>
      <c r="U1255" s="29"/>
      <c r="V1255" s="29"/>
      <c r="W1255" s="30" t="s">
        <v>2032</v>
      </c>
      <c r="X1255" s="29" t="s">
        <v>2032</v>
      </c>
      <c r="Y1255" s="29"/>
      <c r="Z1255" s="29"/>
      <c r="AA1255" s="29"/>
      <c r="AB1255" s="27" t="s">
        <v>2056</v>
      </c>
      <c r="AC1255" s="27"/>
      <c r="AD1255" s="27"/>
      <c r="AE1255" s="31">
        <f>100</f>
        <v>100</v>
      </c>
      <c r="AF1255" s="31"/>
      <c r="AG1255" s="31"/>
    </row>
    <row r="1256" spans="1:33" s="1" customFormat="1" ht="33" customHeight="1">
      <c r="A1256" s="24" t="s">
        <v>1971</v>
      </c>
      <c r="B1256" s="25" t="s">
        <v>1972</v>
      </c>
      <c r="C1256" s="25"/>
      <c r="D1256" s="25"/>
      <c r="E1256" s="26" t="s">
        <v>1973</v>
      </c>
      <c r="F1256" s="26"/>
      <c r="G1256" s="26"/>
      <c r="H1256" s="26"/>
      <c r="I1256" s="26"/>
      <c r="J1256" s="27" t="s">
        <v>2056</v>
      </c>
      <c r="K1256" s="27"/>
      <c r="L1256" s="27"/>
      <c r="M1256" s="27"/>
      <c r="N1256" s="28">
        <f>118</f>
        <v>118</v>
      </c>
      <c r="O1256" s="28"/>
      <c r="P1256" s="28"/>
      <c r="Q1256" s="27" t="s">
        <v>2032</v>
      </c>
      <c r="R1256" s="27"/>
      <c r="S1256" s="29" t="s">
        <v>2032</v>
      </c>
      <c r="T1256" s="29"/>
      <c r="U1256" s="29"/>
      <c r="V1256" s="29"/>
      <c r="W1256" s="30" t="s">
        <v>2032</v>
      </c>
      <c r="X1256" s="29" t="s">
        <v>2032</v>
      </c>
      <c r="Y1256" s="29"/>
      <c r="Z1256" s="29"/>
      <c r="AA1256" s="29"/>
      <c r="AB1256" s="27" t="s">
        <v>2056</v>
      </c>
      <c r="AC1256" s="27"/>
      <c r="AD1256" s="27"/>
      <c r="AE1256" s="31">
        <f>118</f>
        <v>118</v>
      </c>
      <c r="AF1256" s="31"/>
      <c r="AG1256" s="31"/>
    </row>
    <row r="1257" spans="1:33" s="1" customFormat="1" ht="33" customHeight="1">
      <c r="A1257" s="24" t="s">
        <v>1974</v>
      </c>
      <c r="B1257" s="25" t="s">
        <v>1975</v>
      </c>
      <c r="C1257" s="25"/>
      <c r="D1257" s="25"/>
      <c r="E1257" s="26" t="s">
        <v>1976</v>
      </c>
      <c r="F1257" s="26"/>
      <c r="G1257" s="26"/>
      <c r="H1257" s="26"/>
      <c r="I1257" s="26"/>
      <c r="J1257" s="27" t="s">
        <v>2056</v>
      </c>
      <c r="K1257" s="27"/>
      <c r="L1257" s="27"/>
      <c r="M1257" s="27"/>
      <c r="N1257" s="28">
        <f>325</f>
        <v>325</v>
      </c>
      <c r="O1257" s="28"/>
      <c r="P1257" s="28"/>
      <c r="Q1257" s="27" t="s">
        <v>2032</v>
      </c>
      <c r="R1257" s="27"/>
      <c r="S1257" s="29" t="s">
        <v>2032</v>
      </c>
      <c r="T1257" s="29"/>
      <c r="U1257" s="29"/>
      <c r="V1257" s="29"/>
      <c r="W1257" s="30" t="s">
        <v>2032</v>
      </c>
      <c r="X1257" s="29" t="s">
        <v>2032</v>
      </c>
      <c r="Y1257" s="29"/>
      <c r="Z1257" s="29"/>
      <c r="AA1257" s="29"/>
      <c r="AB1257" s="27" t="s">
        <v>2056</v>
      </c>
      <c r="AC1257" s="27"/>
      <c r="AD1257" s="27"/>
      <c r="AE1257" s="31">
        <f>325</f>
        <v>325</v>
      </c>
      <c r="AF1257" s="31"/>
      <c r="AG1257" s="31"/>
    </row>
    <row r="1258" spans="1:33" s="1" customFormat="1" ht="46.5" customHeight="1">
      <c r="A1258" s="24" t="s">
        <v>1977</v>
      </c>
      <c r="B1258" s="25" t="s">
        <v>1978</v>
      </c>
      <c r="C1258" s="25"/>
      <c r="D1258" s="25"/>
      <c r="E1258" s="26" t="s">
        <v>1979</v>
      </c>
      <c r="F1258" s="26"/>
      <c r="G1258" s="26"/>
      <c r="H1258" s="26"/>
      <c r="I1258" s="26"/>
      <c r="J1258" s="27" t="s">
        <v>2056</v>
      </c>
      <c r="K1258" s="27"/>
      <c r="L1258" s="27"/>
      <c r="M1258" s="27"/>
      <c r="N1258" s="28">
        <f>325</f>
        <v>325</v>
      </c>
      <c r="O1258" s="28"/>
      <c r="P1258" s="28"/>
      <c r="Q1258" s="27" t="s">
        <v>2032</v>
      </c>
      <c r="R1258" s="27"/>
      <c r="S1258" s="29" t="s">
        <v>2032</v>
      </c>
      <c r="T1258" s="29"/>
      <c r="U1258" s="29"/>
      <c r="V1258" s="29"/>
      <c r="W1258" s="30" t="s">
        <v>2032</v>
      </c>
      <c r="X1258" s="29" t="s">
        <v>2032</v>
      </c>
      <c r="Y1258" s="29"/>
      <c r="Z1258" s="29"/>
      <c r="AA1258" s="29"/>
      <c r="AB1258" s="27" t="s">
        <v>2056</v>
      </c>
      <c r="AC1258" s="27"/>
      <c r="AD1258" s="27"/>
      <c r="AE1258" s="31">
        <f>325</f>
        <v>325</v>
      </c>
      <c r="AF1258" s="31"/>
      <c r="AG1258" s="31"/>
    </row>
    <row r="1259" spans="1:33" s="1" customFormat="1" ht="18.75" customHeight="1">
      <c r="A1259" s="24" t="s">
        <v>1980</v>
      </c>
      <c r="B1259" s="25" t="s">
        <v>1981</v>
      </c>
      <c r="C1259" s="25"/>
      <c r="D1259" s="25"/>
      <c r="E1259" s="26" t="s">
        <v>1982</v>
      </c>
      <c r="F1259" s="26"/>
      <c r="G1259" s="26"/>
      <c r="H1259" s="26"/>
      <c r="I1259" s="26"/>
      <c r="J1259" s="27" t="s">
        <v>2056</v>
      </c>
      <c r="K1259" s="27"/>
      <c r="L1259" s="27"/>
      <c r="M1259" s="27"/>
      <c r="N1259" s="28">
        <f>162.91</f>
        <v>162.91</v>
      </c>
      <c r="O1259" s="28"/>
      <c r="P1259" s="28"/>
      <c r="Q1259" s="27" t="s">
        <v>2032</v>
      </c>
      <c r="R1259" s="27"/>
      <c r="S1259" s="29" t="s">
        <v>2032</v>
      </c>
      <c r="T1259" s="29"/>
      <c r="U1259" s="29"/>
      <c r="V1259" s="29"/>
      <c r="W1259" s="30" t="s">
        <v>2032</v>
      </c>
      <c r="X1259" s="29" t="s">
        <v>2032</v>
      </c>
      <c r="Y1259" s="29"/>
      <c r="Z1259" s="29"/>
      <c r="AA1259" s="29"/>
      <c r="AB1259" s="27" t="s">
        <v>2056</v>
      </c>
      <c r="AC1259" s="27"/>
      <c r="AD1259" s="27"/>
      <c r="AE1259" s="31">
        <f>162.91</f>
        <v>162.91</v>
      </c>
      <c r="AF1259" s="31"/>
      <c r="AG1259" s="31"/>
    </row>
    <row r="1260" spans="1:33" s="1" customFormat="1" ht="18.75" customHeight="1">
      <c r="A1260" s="24" t="s">
        <v>1983</v>
      </c>
      <c r="B1260" s="25" t="s">
        <v>1984</v>
      </c>
      <c r="C1260" s="25"/>
      <c r="D1260" s="25"/>
      <c r="E1260" s="26" t="s">
        <v>1985</v>
      </c>
      <c r="F1260" s="26"/>
      <c r="G1260" s="26"/>
      <c r="H1260" s="26"/>
      <c r="I1260" s="26"/>
      <c r="J1260" s="27" t="s">
        <v>2056</v>
      </c>
      <c r="K1260" s="27"/>
      <c r="L1260" s="27"/>
      <c r="M1260" s="27"/>
      <c r="N1260" s="28">
        <f>1040</f>
        <v>1040</v>
      </c>
      <c r="O1260" s="28"/>
      <c r="P1260" s="28"/>
      <c r="Q1260" s="27" t="s">
        <v>2032</v>
      </c>
      <c r="R1260" s="27"/>
      <c r="S1260" s="29" t="s">
        <v>2032</v>
      </c>
      <c r="T1260" s="29"/>
      <c r="U1260" s="29"/>
      <c r="V1260" s="29"/>
      <c r="W1260" s="30" t="s">
        <v>2032</v>
      </c>
      <c r="X1260" s="29" t="s">
        <v>2032</v>
      </c>
      <c r="Y1260" s="29"/>
      <c r="Z1260" s="29"/>
      <c r="AA1260" s="29"/>
      <c r="AB1260" s="27" t="s">
        <v>2056</v>
      </c>
      <c r="AC1260" s="27"/>
      <c r="AD1260" s="27"/>
      <c r="AE1260" s="31">
        <f>1040</f>
        <v>1040</v>
      </c>
      <c r="AF1260" s="31"/>
      <c r="AG1260" s="31"/>
    </row>
    <row r="1261" spans="1:33" s="1" customFormat="1" ht="18.75" customHeight="1">
      <c r="A1261" s="24" t="s">
        <v>1986</v>
      </c>
      <c r="B1261" s="25" t="s">
        <v>3149</v>
      </c>
      <c r="C1261" s="25"/>
      <c r="D1261" s="25"/>
      <c r="E1261" s="26" t="s">
        <v>1987</v>
      </c>
      <c r="F1261" s="26"/>
      <c r="G1261" s="26"/>
      <c r="H1261" s="26"/>
      <c r="I1261" s="26"/>
      <c r="J1261" s="27" t="s">
        <v>2056</v>
      </c>
      <c r="K1261" s="27"/>
      <c r="L1261" s="27"/>
      <c r="M1261" s="27"/>
      <c r="N1261" s="28">
        <f>162.36</f>
        <v>162.36</v>
      </c>
      <c r="O1261" s="28"/>
      <c r="P1261" s="28"/>
      <c r="Q1261" s="27" t="s">
        <v>2032</v>
      </c>
      <c r="R1261" s="27"/>
      <c r="S1261" s="29" t="s">
        <v>2032</v>
      </c>
      <c r="T1261" s="29"/>
      <c r="U1261" s="29"/>
      <c r="V1261" s="29"/>
      <c r="W1261" s="30" t="s">
        <v>2032</v>
      </c>
      <c r="X1261" s="29" t="s">
        <v>2032</v>
      </c>
      <c r="Y1261" s="29"/>
      <c r="Z1261" s="29"/>
      <c r="AA1261" s="29"/>
      <c r="AB1261" s="27" t="s">
        <v>2056</v>
      </c>
      <c r="AC1261" s="27"/>
      <c r="AD1261" s="27"/>
      <c r="AE1261" s="31">
        <f>162.36</f>
        <v>162.36</v>
      </c>
      <c r="AF1261" s="31"/>
      <c r="AG1261" s="31"/>
    </row>
    <row r="1262" spans="1:33" s="1" customFormat="1" ht="18.75" customHeight="1">
      <c r="A1262" s="24" t="s">
        <v>1988</v>
      </c>
      <c r="B1262" s="25" t="s">
        <v>2531</v>
      </c>
      <c r="C1262" s="25"/>
      <c r="D1262" s="25"/>
      <c r="E1262" s="26" t="s">
        <v>1989</v>
      </c>
      <c r="F1262" s="26"/>
      <c r="G1262" s="26"/>
      <c r="H1262" s="26"/>
      <c r="I1262" s="26"/>
      <c r="J1262" s="27" t="s">
        <v>2056</v>
      </c>
      <c r="K1262" s="27"/>
      <c r="L1262" s="27"/>
      <c r="M1262" s="27"/>
      <c r="N1262" s="28">
        <f>320</f>
        <v>320</v>
      </c>
      <c r="O1262" s="28"/>
      <c r="P1262" s="28"/>
      <c r="Q1262" s="27" t="s">
        <v>2032</v>
      </c>
      <c r="R1262" s="27"/>
      <c r="S1262" s="29" t="s">
        <v>2032</v>
      </c>
      <c r="T1262" s="29"/>
      <c r="U1262" s="29"/>
      <c r="V1262" s="29"/>
      <c r="W1262" s="30" t="s">
        <v>2032</v>
      </c>
      <c r="X1262" s="29" t="s">
        <v>2032</v>
      </c>
      <c r="Y1262" s="29"/>
      <c r="Z1262" s="29"/>
      <c r="AA1262" s="29"/>
      <c r="AB1262" s="27" t="s">
        <v>2056</v>
      </c>
      <c r="AC1262" s="27"/>
      <c r="AD1262" s="27"/>
      <c r="AE1262" s="31">
        <f>320</f>
        <v>320</v>
      </c>
      <c r="AF1262" s="31"/>
      <c r="AG1262" s="31"/>
    </row>
    <row r="1263" spans="1:33" s="1" customFormat="1" ht="33" customHeight="1">
      <c r="A1263" s="24" t="s">
        <v>1990</v>
      </c>
      <c r="B1263" s="25" t="s">
        <v>1991</v>
      </c>
      <c r="C1263" s="25"/>
      <c r="D1263" s="25"/>
      <c r="E1263" s="26" t="s">
        <v>1992</v>
      </c>
      <c r="F1263" s="26"/>
      <c r="G1263" s="26"/>
      <c r="H1263" s="26"/>
      <c r="I1263" s="26"/>
      <c r="J1263" s="27" t="s">
        <v>2056</v>
      </c>
      <c r="K1263" s="27"/>
      <c r="L1263" s="27"/>
      <c r="M1263" s="27"/>
      <c r="N1263" s="28">
        <f>325</f>
        <v>325</v>
      </c>
      <c r="O1263" s="28"/>
      <c r="P1263" s="28"/>
      <c r="Q1263" s="27" t="s">
        <v>2032</v>
      </c>
      <c r="R1263" s="27"/>
      <c r="S1263" s="29" t="s">
        <v>2032</v>
      </c>
      <c r="T1263" s="29"/>
      <c r="U1263" s="29"/>
      <c r="V1263" s="29"/>
      <c r="W1263" s="30" t="s">
        <v>2032</v>
      </c>
      <c r="X1263" s="29" t="s">
        <v>2032</v>
      </c>
      <c r="Y1263" s="29"/>
      <c r="Z1263" s="29"/>
      <c r="AA1263" s="29"/>
      <c r="AB1263" s="27" t="s">
        <v>2056</v>
      </c>
      <c r="AC1263" s="27"/>
      <c r="AD1263" s="27"/>
      <c r="AE1263" s="31">
        <f>325</f>
        <v>325</v>
      </c>
      <c r="AF1263" s="31"/>
      <c r="AG1263" s="31"/>
    </row>
    <row r="1264" spans="1:33" s="1" customFormat="1" ht="18.75" customHeight="1">
      <c r="A1264" s="24" t="s">
        <v>1993</v>
      </c>
      <c r="B1264" s="25" t="s">
        <v>1994</v>
      </c>
      <c r="C1264" s="25"/>
      <c r="D1264" s="25"/>
      <c r="E1264" s="26" t="s">
        <v>1995</v>
      </c>
      <c r="F1264" s="26"/>
      <c r="G1264" s="26"/>
      <c r="H1264" s="26"/>
      <c r="I1264" s="26"/>
      <c r="J1264" s="27" t="s">
        <v>2056</v>
      </c>
      <c r="K1264" s="27"/>
      <c r="L1264" s="27"/>
      <c r="M1264" s="27"/>
      <c r="N1264" s="28">
        <f>73.06</f>
        <v>73.06</v>
      </c>
      <c r="O1264" s="28"/>
      <c r="P1264" s="28"/>
      <c r="Q1264" s="27" t="s">
        <v>2032</v>
      </c>
      <c r="R1264" s="27"/>
      <c r="S1264" s="29" t="s">
        <v>2032</v>
      </c>
      <c r="T1264" s="29"/>
      <c r="U1264" s="29"/>
      <c r="V1264" s="29"/>
      <c r="W1264" s="30" t="s">
        <v>2032</v>
      </c>
      <c r="X1264" s="29" t="s">
        <v>2032</v>
      </c>
      <c r="Y1264" s="29"/>
      <c r="Z1264" s="29"/>
      <c r="AA1264" s="29"/>
      <c r="AB1264" s="27" t="s">
        <v>2056</v>
      </c>
      <c r="AC1264" s="27"/>
      <c r="AD1264" s="27"/>
      <c r="AE1264" s="31">
        <f>73.06</f>
        <v>73.06</v>
      </c>
      <c r="AF1264" s="31"/>
      <c r="AG1264" s="31"/>
    </row>
    <row r="1265" spans="1:33" s="1" customFormat="1" ht="18.75" customHeight="1">
      <c r="A1265" s="24" t="s">
        <v>1996</v>
      </c>
      <c r="B1265" s="25" t="s">
        <v>1997</v>
      </c>
      <c r="C1265" s="25"/>
      <c r="D1265" s="25"/>
      <c r="E1265" s="26" t="s">
        <v>1998</v>
      </c>
      <c r="F1265" s="26"/>
      <c r="G1265" s="26"/>
      <c r="H1265" s="26"/>
      <c r="I1265" s="26"/>
      <c r="J1265" s="27" t="s">
        <v>2057</v>
      </c>
      <c r="K1265" s="27"/>
      <c r="L1265" s="27"/>
      <c r="M1265" s="27"/>
      <c r="N1265" s="28">
        <f>219.18</f>
        <v>219.18</v>
      </c>
      <c r="O1265" s="28"/>
      <c r="P1265" s="28"/>
      <c r="Q1265" s="27" t="s">
        <v>2032</v>
      </c>
      <c r="R1265" s="27"/>
      <c r="S1265" s="29" t="s">
        <v>2032</v>
      </c>
      <c r="T1265" s="29"/>
      <c r="U1265" s="29"/>
      <c r="V1265" s="29"/>
      <c r="W1265" s="30" t="s">
        <v>2032</v>
      </c>
      <c r="X1265" s="29" t="s">
        <v>2032</v>
      </c>
      <c r="Y1265" s="29"/>
      <c r="Z1265" s="29"/>
      <c r="AA1265" s="29"/>
      <c r="AB1265" s="27" t="s">
        <v>2057</v>
      </c>
      <c r="AC1265" s="27"/>
      <c r="AD1265" s="27"/>
      <c r="AE1265" s="31">
        <f>219.18</f>
        <v>219.18</v>
      </c>
      <c r="AF1265" s="31"/>
      <c r="AG1265" s="31"/>
    </row>
    <row r="1266" spans="1:33" s="1" customFormat="1" ht="18.75" customHeight="1">
      <c r="A1266" s="24" t="s">
        <v>1999</v>
      </c>
      <c r="B1266" s="25" t="s">
        <v>2000</v>
      </c>
      <c r="C1266" s="25"/>
      <c r="D1266" s="25"/>
      <c r="E1266" s="26" t="s">
        <v>2001</v>
      </c>
      <c r="F1266" s="26"/>
      <c r="G1266" s="26"/>
      <c r="H1266" s="26"/>
      <c r="I1266" s="26"/>
      <c r="J1266" s="27" t="s">
        <v>2056</v>
      </c>
      <c r="K1266" s="27"/>
      <c r="L1266" s="27"/>
      <c r="M1266" s="27"/>
      <c r="N1266" s="28">
        <f>15</f>
        <v>15</v>
      </c>
      <c r="O1266" s="28"/>
      <c r="P1266" s="28"/>
      <c r="Q1266" s="27" t="s">
        <v>2032</v>
      </c>
      <c r="R1266" s="27"/>
      <c r="S1266" s="29" t="s">
        <v>2032</v>
      </c>
      <c r="T1266" s="29"/>
      <c r="U1266" s="29"/>
      <c r="V1266" s="29"/>
      <c r="W1266" s="30" t="s">
        <v>2032</v>
      </c>
      <c r="X1266" s="29" t="s">
        <v>2032</v>
      </c>
      <c r="Y1266" s="29"/>
      <c r="Z1266" s="29"/>
      <c r="AA1266" s="29"/>
      <c r="AB1266" s="27" t="s">
        <v>2056</v>
      </c>
      <c r="AC1266" s="27"/>
      <c r="AD1266" s="27"/>
      <c r="AE1266" s="31">
        <f>15</f>
        <v>15</v>
      </c>
      <c r="AF1266" s="31"/>
      <c r="AG1266" s="31"/>
    </row>
    <row r="1267" spans="1:33" s="1" customFormat="1" ht="18.75" customHeight="1">
      <c r="A1267" s="24" t="s">
        <v>2002</v>
      </c>
      <c r="B1267" s="25" t="s">
        <v>2003</v>
      </c>
      <c r="C1267" s="25"/>
      <c r="D1267" s="25"/>
      <c r="E1267" s="26" t="s">
        <v>2004</v>
      </c>
      <c r="F1267" s="26"/>
      <c r="G1267" s="26"/>
      <c r="H1267" s="26"/>
      <c r="I1267" s="26"/>
      <c r="J1267" s="27" t="s">
        <v>2064</v>
      </c>
      <c r="K1267" s="27"/>
      <c r="L1267" s="27"/>
      <c r="M1267" s="27"/>
      <c r="N1267" s="28">
        <f>45</f>
        <v>45</v>
      </c>
      <c r="O1267" s="28"/>
      <c r="P1267" s="28"/>
      <c r="Q1267" s="27" t="s">
        <v>2032</v>
      </c>
      <c r="R1267" s="27"/>
      <c r="S1267" s="29" t="s">
        <v>2032</v>
      </c>
      <c r="T1267" s="29"/>
      <c r="U1267" s="29"/>
      <c r="V1267" s="29"/>
      <c r="W1267" s="30" t="s">
        <v>2032</v>
      </c>
      <c r="X1267" s="29" t="s">
        <v>2032</v>
      </c>
      <c r="Y1267" s="29"/>
      <c r="Z1267" s="29"/>
      <c r="AA1267" s="29"/>
      <c r="AB1267" s="27" t="s">
        <v>2064</v>
      </c>
      <c r="AC1267" s="27"/>
      <c r="AD1267" s="27"/>
      <c r="AE1267" s="31">
        <f>45</f>
        <v>45</v>
      </c>
      <c r="AF1267" s="31"/>
      <c r="AG1267" s="31"/>
    </row>
    <row r="1268" spans="1:33" s="1" customFormat="1" ht="18.75" customHeight="1">
      <c r="A1268" s="24" t="s">
        <v>2005</v>
      </c>
      <c r="B1268" s="25" t="s">
        <v>2006</v>
      </c>
      <c r="C1268" s="25"/>
      <c r="D1268" s="25"/>
      <c r="E1268" s="26" t="s">
        <v>2007</v>
      </c>
      <c r="F1268" s="26"/>
      <c r="G1268" s="26"/>
      <c r="H1268" s="26"/>
      <c r="I1268" s="26"/>
      <c r="J1268" s="27" t="s">
        <v>2056</v>
      </c>
      <c r="K1268" s="27"/>
      <c r="L1268" s="27"/>
      <c r="M1268" s="27"/>
      <c r="N1268" s="28">
        <f>1000</f>
        <v>1000</v>
      </c>
      <c r="O1268" s="28"/>
      <c r="P1268" s="28"/>
      <c r="Q1268" s="27" t="s">
        <v>2032</v>
      </c>
      <c r="R1268" s="27"/>
      <c r="S1268" s="29" t="s">
        <v>2032</v>
      </c>
      <c r="T1268" s="29"/>
      <c r="U1268" s="29"/>
      <c r="V1268" s="29"/>
      <c r="W1268" s="30" t="s">
        <v>2032</v>
      </c>
      <c r="X1268" s="29" t="s">
        <v>2032</v>
      </c>
      <c r="Y1268" s="29"/>
      <c r="Z1268" s="29"/>
      <c r="AA1268" s="29"/>
      <c r="AB1268" s="27" t="s">
        <v>2056</v>
      </c>
      <c r="AC1268" s="27"/>
      <c r="AD1268" s="27"/>
      <c r="AE1268" s="31">
        <f>1000</f>
        <v>1000</v>
      </c>
      <c r="AF1268" s="31"/>
      <c r="AG1268" s="31"/>
    </row>
    <row r="1269" spans="1:33" s="1" customFormat="1" ht="18.75" customHeight="1">
      <c r="A1269" s="24" t="s">
        <v>2008</v>
      </c>
      <c r="B1269" s="25" t="s">
        <v>2009</v>
      </c>
      <c r="C1269" s="25"/>
      <c r="D1269" s="25"/>
      <c r="E1269" s="26" t="s">
        <v>2010</v>
      </c>
      <c r="F1269" s="26"/>
      <c r="G1269" s="26"/>
      <c r="H1269" s="26"/>
      <c r="I1269" s="26"/>
      <c r="J1269" s="27" t="s">
        <v>2056</v>
      </c>
      <c r="K1269" s="27"/>
      <c r="L1269" s="27"/>
      <c r="M1269" s="27"/>
      <c r="N1269" s="28">
        <f>73.06</f>
        <v>73.06</v>
      </c>
      <c r="O1269" s="28"/>
      <c r="P1269" s="28"/>
      <c r="Q1269" s="27" t="s">
        <v>2032</v>
      </c>
      <c r="R1269" s="27"/>
      <c r="S1269" s="29" t="s">
        <v>2032</v>
      </c>
      <c r="T1269" s="29"/>
      <c r="U1269" s="29"/>
      <c r="V1269" s="29"/>
      <c r="W1269" s="30" t="s">
        <v>2032</v>
      </c>
      <c r="X1269" s="29" t="s">
        <v>2032</v>
      </c>
      <c r="Y1269" s="29"/>
      <c r="Z1269" s="29"/>
      <c r="AA1269" s="29"/>
      <c r="AB1269" s="27" t="s">
        <v>2056</v>
      </c>
      <c r="AC1269" s="27"/>
      <c r="AD1269" s="27"/>
      <c r="AE1269" s="31">
        <f>73.06</f>
        <v>73.06</v>
      </c>
      <c r="AF1269" s="31"/>
      <c r="AG1269" s="31"/>
    </row>
    <row r="1270" spans="1:33" s="1" customFormat="1" ht="18.75" customHeight="1">
      <c r="A1270" s="24" t="s">
        <v>2011</v>
      </c>
      <c r="B1270" s="25" t="s">
        <v>2012</v>
      </c>
      <c r="C1270" s="25"/>
      <c r="D1270" s="25"/>
      <c r="E1270" s="26" t="s">
        <v>2013</v>
      </c>
      <c r="F1270" s="26"/>
      <c r="G1270" s="26"/>
      <c r="H1270" s="26"/>
      <c r="I1270" s="26"/>
      <c r="J1270" s="27" t="s">
        <v>2060</v>
      </c>
      <c r="K1270" s="27"/>
      <c r="L1270" s="27"/>
      <c r="M1270" s="27"/>
      <c r="N1270" s="28">
        <f>990</f>
        <v>990</v>
      </c>
      <c r="O1270" s="28"/>
      <c r="P1270" s="28"/>
      <c r="Q1270" s="27" t="s">
        <v>2032</v>
      </c>
      <c r="R1270" s="27"/>
      <c r="S1270" s="29" t="s">
        <v>2032</v>
      </c>
      <c r="T1270" s="29"/>
      <c r="U1270" s="29"/>
      <c r="V1270" s="29"/>
      <c r="W1270" s="30" t="s">
        <v>2032</v>
      </c>
      <c r="X1270" s="29" t="s">
        <v>2032</v>
      </c>
      <c r="Y1270" s="29"/>
      <c r="Z1270" s="29"/>
      <c r="AA1270" s="29"/>
      <c r="AB1270" s="27" t="s">
        <v>2060</v>
      </c>
      <c r="AC1270" s="27"/>
      <c r="AD1270" s="27"/>
      <c r="AE1270" s="31">
        <f>990</f>
        <v>990</v>
      </c>
      <c r="AF1270" s="31"/>
      <c r="AG1270" s="31"/>
    </row>
    <row r="1271" spans="1:33" s="1" customFormat="1" ht="18.75" customHeight="1">
      <c r="A1271" s="24" t="s">
        <v>2014</v>
      </c>
      <c r="B1271" s="25" t="s">
        <v>2015</v>
      </c>
      <c r="C1271" s="25"/>
      <c r="D1271" s="25"/>
      <c r="E1271" s="26" t="s">
        <v>2016</v>
      </c>
      <c r="F1271" s="26"/>
      <c r="G1271" s="26"/>
      <c r="H1271" s="26"/>
      <c r="I1271" s="26"/>
      <c r="J1271" s="27" t="s">
        <v>2065</v>
      </c>
      <c r="K1271" s="27"/>
      <c r="L1271" s="27"/>
      <c r="M1271" s="27"/>
      <c r="N1271" s="28">
        <f>1830</f>
        <v>1830</v>
      </c>
      <c r="O1271" s="28"/>
      <c r="P1271" s="28"/>
      <c r="Q1271" s="27" t="s">
        <v>2032</v>
      </c>
      <c r="R1271" s="27"/>
      <c r="S1271" s="29" t="s">
        <v>2032</v>
      </c>
      <c r="T1271" s="29"/>
      <c r="U1271" s="29"/>
      <c r="V1271" s="29"/>
      <c r="W1271" s="30" t="s">
        <v>2032</v>
      </c>
      <c r="X1271" s="29" t="s">
        <v>2032</v>
      </c>
      <c r="Y1271" s="29"/>
      <c r="Z1271" s="29"/>
      <c r="AA1271" s="29"/>
      <c r="AB1271" s="27" t="s">
        <v>2065</v>
      </c>
      <c r="AC1271" s="27"/>
      <c r="AD1271" s="27"/>
      <c r="AE1271" s="31">
        <f>1830</f>
        <v>1830</v>
      </c>
      <c r="AF1271" s="31"/>
      <c r="AG1271" s="31"/>
    </row>
    <row r="1272" spans="1:33" s="1" customFormat="1" ht="18.75" customHeight="1">
      <c r="A1272" s="24" t="s">
        <v>2017</v>
      </c>
      <c r="B1272" s="25" t="s">
        <v>2018</v>
      </c>
      <c r="C1272" s="25"/>
      <c r="D1272" s="25"/>
      <c r="E1272" s="26" t="s">
        <v>2019</v>
      </c>
      <c r="F1272" s="26"/>
      <c r="G1272" s="26"/>
      <c r="H1272" s="26"/>
      <c r="I1272" s="26"/>
      <c r="J1272" s="27" t="s">
        <v>2061</v>
      </c>
      <c r="K1272" s="27"/>
      <c r="L1272" s="27"/>
      <c r="M1272" s="27"/>
      <c r="N1272" s="28">
        <f>2384.3</f>
        <v>2384.3</v>
      </c>
      <c r="O1272" s="28"/>
      <c r="P1272" s="28"/>
      <c r="Q1272" s="27" t="s">
        <v>2032</v>
      </c>
      <c r="R1272" s="27"/>
      <c r="S1272" s="29" t="s">
        <v>2032</v>
      </c>
      <c r="T1272" s="29"/>
      <c r="U1272" s="29"/>
      <c r="V1272" s="29"/>
      <c r="W1272" s="30" t="s">
        <v>2032</v>
      </c>
      <c r="X1272" s="29" t="s">
        <v>2032</v>
      </c>
      <c r="Y1272" s="29"/>
      <c r="Z1272" s="29"/>
      <c r="AA1272" s="29"/>
      <c r="AB1272" s="27" t="s">
        <v>2061</v>
      </c>
      <c r="AC1272" s="27"/>
      <c r="AD1272" s="27"/>
      <c r="AE1272" s="31">
        <f>2384.3</f>
        <v>2384.3</v>
      </c>
      <c r="AF1272" s="31"/>
      <c r="AG1272" s="31"/>
    </row>
    <row r="1273" spans="1:33" s="1" customFormat="1" ht="33" customHeight="1">
      <c r="A1273" s="24" t="s">
        <v>2020</v>
      </c>
      <c r="B1273" s="25" t="s">
        <v>2021</v>
      </c>
      <c r="C1273" s="25"/>
      <c r="D1273" s="25"/>
      <c r="E1273" s="26" t="s">
        <v>2022</v>
      </c>
      <c r="F1273" s="26"/>
      <c r="G1273" s="26"/>
      <c r="H1273" s="26"/>
      <c r="I1273" s="26"/>
      <c r="J1273" s="27" t="s">
        <v>2056</v>
      </c>
      <c r="K1273" s="27"/>
      <c r="L1273" s="27"/>
      <c r="M1273" s="27"/>
      <c r="N1273" s="28">
        <f>1856</f>
        <v>1856</v>
      </c>
      <c r="O1273" s="28"/>
      <c r="P1273" s="28"/>
      <c r="Q1273" s="27" t="s">
        <v>2032</v>
      </c>
      <c r="R1273" s="27"/>
      <c r="S1273" s="29" t="s">
        <v>2032</v>
      </c>
      <c r="T1273" s="29"/>
      <c r="U1273" s="29"/>
      <c r="V1273" s="29"/>
      <c r="W1273" s="30" t="s">
        <v>2032</v>
      </c>
      <c r="X1273" s="29" t="s">
        <v>2032</v>
      </c>
      <c r="Y1273" s="29"/>
      <c r="Z1273" s="29"/>
      <c r="AA1273" s="29"/>
      <c r="AB1273" s="27" t="s">
        <v>2056</v>
      </c>
      <c r="AC1273" s="27"/>
      <c r="AD1273" s="27"/>
      <c r="AE1273" s="31">
        <f>1856</f>
        <v>1856</v>
      </c>
      <c r="AF1273" s="31"/>
      <c r="AG1273" s="31"/>
    </row>
    <row r="1274" spans="1:33" s="1" customFormat="1" ht="33" customHeight="1">
      <c r="A1274" s="24" t="s">
        <v>2023</v>
      </c>
      <c r="B1274" s="25" t="s">
        <v>2024</v>
      </c>
      <c r="C1274" s="25"/>
      <c r="D1274" s="25"/>
      <c r="E1274" s="26" t="s">
        <v>2025</v>
      </c>
      <c r="F1274" s="26"/>
      <c r="G1274" s="26"/>
      <c r="H1274" s="26"/>
      <c r="I1274" s="26"/>
      <c r="J1274" s="27" t="s">
        <v>2056</v>
      </c>
      <c r="K1274" s="27"/>
      <c r="L1274" s="27"/>
      <c r="M1274" s="27"/>
      <c r="N1274" s="28">
        <f>1300</f>
        <v>1300</v>
      </c>
      <c r="O1274" s="28"/>
      <c r="P1274" s="28"/>
      <c r="Q1274" s="27" t="s">
        <v>2032</v>
      </c>
      <c r="R1274" s="27"/>
      <c r="S1274" s="29" t="s">
        <v>2032</v>
      </c>
      <c r="T1274" s="29"/>
      <c r="U1274" s="29"/>
      <c r="V1274" s="29"/>
      <c r="W1274" s="30" t="s">
        <v>2032</v>
      </c>
      <c r="X1274" s="29" t="s">
        <v>2032</v>
      </c>
      <c r="Y1274" s="29"/>
      <c r="Z1274" s="29"/>
      <c r="AA1274" s="29"/>
      <c r="AB1274" s="27" t="s">
        <v>2056</v>
      </c>
      <c r="AC1274" s="27"/>
      <c r="AD1274" s="27"/>
      <c r="AE1274" s="31">
        <f>1300</f>
        <v>1300</v>
      </c>
      <c r="AF1274" s="31"/>
      <c r="AG1274" s="31"/>
    </row>
    <row r="1275" spans="1:33" s="1" customFormat="1" ht="33" customHeight="1">
      <c r="A1275" s="24" t="s">
        <v>2026</v>
      </c>
      <c r="B1275" s="25" t="s">
        <v>0</v>
      </c>
      <c r="C1275" s="25"/>
      <c r="D1275" s="25"/>
      <c r="E1275" s="26" t="s">
        <v>1</v>
      </c>
      <c r="F1275" s="26"/>
      <c r="G1275" s="26"/>
      <c r="H1275" s="26"/>
      <c r="I1275" s="26"/>
      <c r="J1275" s="27" t="s">
        <v>2056</v>
      </c>
      <c r="K1275" s="27"/>
      <c r="L1275" s="27"/>
      <c r="M1275" s="27"/>
      <c r="N1275" s="28">
        <f>524</f>
        <v>524</v>
      </c>
      <c r="O1275" s="28"/>
      <c r="P1275" s="28"/>
      <c r="Q1275" s="27" t="s">
        <v>2032</v>
      </c>
      <c r="R1275" s="27"/>
      <c r="S1275" s="29" t="s">
        <v>2032</v>
      </c>
      <c r="T1275" s="29"/>
      <c r="U1275" s="29"/>
      <c r="V1275" s="29"/>
      <c r="W1275" s="30" t="s">
        <v>2032</v>
      </c>
      <c r="X1275" s="29" t="s">
        <v>2032</v>
      </c>
      <c r="Y1275" s="29"/>
      <c r="Z1275" s="29"/>
      <c r="AA1275" s="29"/>
      <c r="AB1275" s="27" t="s">
        <v>2056</v>
      </c>
      <c r="AC1275" s="27"/>
      <c r="AD1275" s="27"/>
      <c r="AE1275" s="31">
        <f>524</f>
        <v>524</v>
      </c>
      <c r="AF1275" s="31"/>
      <c r="AG1275" s="31"/>
    </row>
    <row r="1276" spans="1:33" s="1" customFormat="1" ht="18.75" customHeight="1">
      <c r="A1276" s="24" t="s">
        <v>2</v>
      </c>
      <c r="B1276" s="25" t="s">
        <v>3257</v>
      </c>
      <c r="C1276" s="25"/>
      <c r="D1276" s="25"/>
      <c r="E1276" s="26" t="s">
        <v>3</v>
      </c>
      <c r="F1276" s="26"/>
      <c r="G1276" s="26"/>
      <c r="H1276" s="26"/>
      <c r="I1276" s="26"/>
      <c r="J1276" s="27" t="s">
        <v>2062</v>
      </c>
      <c r="K1276" s="27"/>
      <c r="L1276" s="27"/>
      <c r="M1276" s="27"/>
      <c r="N1276" s="28">
        <f>5344.57</f>
        <v>5344.57</v>
      </c>
      <c r="O1276" s="28"/>
      <c r="P1276" s="28"/>
      <c r="Q1276" s="27" t="s">
        <v>2032</v>
      </c>
      <c r="R1276" s="27"/>
      <c r="S1276" s="29" t="s">
        <v>2032</v>
      </c>
      <c r="T1276" s="29"/>
      <c r="U1276" s="29"/>
      <c r="V1276" s="29"/>
      <c r="W1276" s="30" t="s">
        <v>2032</v>
      </c>
      <c r="X1276" s="29" t="s">
        <v>2032</v>
      </c>
      <c r="Y1276" s="29"/>
      <c r="Z1276" s="29"/>
      <c r="AA1276" s="29"/>
      <c r="AB1276" s="27" t="s">
        <v>2062</v>
      </c>
      <c r="AC1276" s="27"/>
      <c r="AD1276" s="27"/>
      <c r="AE1276" s="31">
        <f>5344.57</f>
        <v>5344.57</v>
      </c>
      <c r="AF1276" s="31"/>
      <c r="AG1276" s="31"/>
    </row>
    <row r="1277" spans="1:33" s="1" customFormat="1" ht="18.75" customHeight="1">
      <c r="A1277" s="24" t="s">
        <v>4</v>
      </c>
      <c r="B1277" s="25" t="s">
        <v>5</v>
      </c>
      <c r="C1277" s="25"/>
      <c r="D1277" s="25"/>
      <c r="E1277" s="26" t="s">
        <v>6</v>
      </c>
      <c r="F1277" s="26"/>
      <c r="G1277" s="26"/>
      <c r="H1277" s="26"/>
      <c r="I1277" s="26"/>
      <c r="J1277" s="27" t="s">
        <v>2090</v>
      </c>
      <c r="K1277" s="27"/>
      <c r="L1277" s="27"/>
      <c r="M1277" s="27"/>
      <c r="N1277" s="28">
        <f>8745.66</f>
        <v>8745.66</v>
      </c>
      <c r="O1277" s="28"/>
      <c r="P1277" s="28"/>
      <c r="Q1277" s="27" t="s">
        <v>2032</v>
      </c>
      <c r="R1277" s="27"/>
      <c r="S1277" s="29" t="s">
        <v>2032</v>
      </c>
      <c r="T1277" s="29"/>
      <c r="U1277" s="29"/>
      <c r="V1277" s="29"/>
      <c r="W1277" s="30" t="s">
        <v>2032</v>
      </c>
      <c r="X1277" s="29" t="s">
        <v>2032</v>
      </c>
      <c r="Y1277" s="29"/>
      <c r="Z1277" s="29"/>
      <c r="AA1277" s="29"/>
      <c r="AB1277" s="27" t="s">
        <v>2090</v>
      </c>
      <c r="AC1277" s="27"/>
      <c r="AD1277" s="27"/>
      <c r="AE1277" s="31">
        <f>8745.66</f>
        <v>8745.66</v>
      </c>
      <c r="AF1277" s="31"/>
      <c r="AG1277" s="31"/>
    </row>
    <row r="1278" spans="1:33" s="1" customFormat="1" ht="33" customHeight="1">
      <c r="A1278" s="24" t="s">
        <v>7</v>
      </c>
      <c r="B1278" s="25" t="s">
        <v>8</v>
      </c>
      <c r="C1278" s="25"/>
      <c r="D1278" s="25"/>
      <c r="E1278" s="26" t="s">
        <v>9</v>
      </c>
      <c r="F1278" s="26"/>
      <c r="G1278" s="26"/>
      <c r="H1278" s="26"/>
      <c r="I1278" s="26"/>
      <c r="J1278" s="27" t="s">
        <v>2059</v>
      </c>
      <c r="K1278" s="27"/>
      <c r="L1278" s="27"/>
      <c r="M1278" s="27"/>
      <c r="N1278" s="28">
        <f>11140</f>
        <v>11140</v>
      </c>
      <c r="O1278" s="28"/>
      <c r="P1278" s="28"/>
      <c r="Q1278" s="27" t="s">
        <v>2032</v>
      </c>
      <c r="R1278" s="27"/>
      <c r="S1278" s="29" t="s">
        <v>2032</v>
      </c>
      <c r="T1278" s="29"/>
      <c r="U1278" s="29"/>
      <c r="V1278" s="29"/>
      <c r="W1278" s="30" t="s">
        <v>2032</v>
      </c>
      <c r="X1278" s="29" t="s">
        <v>2032</v>
      </c>
      <c r="Y1278" s="29"/>
      <c r="Z1278" s="29"/>
      <c r="AA1278" s="29"/>
      <c r="AB1278" s="27" t="s">
        <v>2059</v>
      </c>
      <c r="AC1278" s="27"/>
      <c r="AD1278" s="27"/>
      <c r="AE1278" s="31">
        <f>11140</f>
        <v>11140</v>
      </c>
      <c r="AF1278" s="31"/>
      <c r="AG1278" s="31"/>
    </row>
    <row r="1279" spans="1:33" s="1" customFormat="1" ht="18.75" customHeight="1">
      <c r="A1279" s="24" t="s">
        <v>10</v>
      </c>
      <c r="B1279" s="25" t="s">
        <v>11</v>
      </c>
      <c r="C1279" s="25"/>
      <c r="D1279" s="25"/>
      <c r="E1279" s="26" t="s">
        <v>12</v>
      </c>
      <c r="F1279" s="26"/>
      <c r="G1279" s="26"/>
      <c r="H1279" s="26"/>
      <c r="I1279" s="26"/>
      <c r="J1279" s="27" t="s">
        <v>2056</v>
      </c>
      <c r="K1279" s="27"/>
      <c r="L1279" s="27"/>
      <c r="M1279" s="27"/>
      <c r="N1279" s="28">
        <f>2618</f>
        <v>2618</v>
      </c>
      <c r="O1279" s="28"/>
      <c r="P1279" s="28"/>
      <c r="Q1279" s="27" t="s">
        <v>2032</v>
      </c>
      <c r="R1279" s="27"/>
      <c r="S1279" s="29" t="s">
        <v>2032</v>
      </c>
      <c r="T1279" s="29"/>
      <c r="U1279" s="29"/>
      <c r="V1279" s="29"/>
      <c r="W1279" s="30" t="s">
        <v>2032</v>
      </c>
      <c r="X1279" s="29" t="s">
        <v>2032</v>
      </c>
      <c r="Y1279" s="29"/>
      <c r="Z1279" s="29"/>
      <c r="AA1279" s="29"/>
      <c r="AB1279" s="27" t="s">
        <v>2056</v>
      </c>
      <c r="AC1279" s="27"/>
      <c r="AD1279" s="27"/>
      <c r="AE1279" s="31">
        <f>2618</f>
        <v>2618</v>
      </c>
      <c r="AF1279" s="31"/>
      <c r="AG1279" s="31"/>
    </row>
    <row r="1280" spans="1:33" s="1" customFormat="1" ht="18.75" customHeight="1">
      <c r="A1280" s="24" t="s">
        <v>13</v>
      </c>
      <c r="B1280" s="25" t="s">
        <v>14</v>
      </c>
      <c r="C1280" s="25"/>
      <c r="D1280" s="25"/>
      <c r="E1280" s="26" t="s">
        <v>12</v>
      </c>
      <c r="F1280" s="26"/>
      <c r="G1280" s="26"/>
      <c r="H1280" s="26"/>
      <c r="I1280" s="26"/>
      <c r="J1280" s="27" t="s">
        <v>2056</v>
      </c>
      <c r="K1280" s="27"/>
      <c r="L1280" s="27"/>
      <c r="M1280" s="27"/>
      <c r="N1280" s="28">
        <f>2618</f>
        <v>2618</v>
      </c>
      <c r="O1280" s="28"/>
      <c r="P1280" s="28"/>
      <c r="Q1280" s="27" t="s">
        <v>2032</v>
      </c>
      <c r="R1280" s="27"/>
      <c r="S1280" s="29" t="s">
        <v>2032</v>
      </c>
      <c r="T1280" s="29"/>
      <c r="U1280" s="29"/>
      <c r="V1280" s="29"/>
      <c r="W1280" s="30" t="s">
        <v>2032</v>
      </c>
      <c r="X1280" s="29" t="s">
        <v>2032</v>
      </c>
      <c r="Y1280" s="29"/>
      <c r="Z1280" s="29"/>
      <c r="AA1280" s="29"/>
      <c r="AB1280" s="27" t="s">
        <v>2056</v>
      </c>
      <c r="AC1280" s="27"/>
      <c r="AD1280" s="27"/>
      <c r="AE1280" s="31">
        <f>2618</f>
        <v>2618</v>
      </c>
      <c r="AF1280" s="31"/>
      <c r="AG1280" s="31"/>
    </row>
    <row r="1281" spans="1:33" s="1" customFormat="1" ht="33" customHeight="1">
      <c r="A1281" s="24" t="s">
        <v>15</v>
      </c>
      <c r="B1281" s="25" t="s">
        <v>16</v>
      </c>
      <c r="C1281" s="25"/>
      <c r="D1281" s="25"/>
      <c r="E1281" s="26" t="s">
        <v>17</v>
      </c>
      <c r="F1281" s="26"/>
      <c r="G1281" s="26"/>
      <c r="H1281" s="26"/>
      <c r="I1281" s="26"/>
      <c r="J1281" s="27" t="s">
        <v>2056</v>
      </c>
      <c r="K1281" s="27"/>
      <c r="L1281" s="27"/>
      <c r="M1281" s="27"/>
      <c r="N1281" s="28">
        <f>2856</f>
        <v>2856</v>
      </c>
      <c r="O1281" s="28"/>
      <c r="P1281" s="28"/>
      <c r="Q1281" s="27" t="s">
        <v>2032</v>
      </c>
      <c r="R1281" s="27"/>
      <c r="S1281" s="29" t="s">
        <v>2032</v>
      </c>
      <c r="T1281" s="29"/>
      <c r="U1281" s="29"/>
      <c r="V1281" s="29"/>
      <c r="W1281" s="30" t="s">
        <v>2032</v>
      </c>
      <c r="X1281" s="29" t="s">
        <v>2032</v>
      </c>
      <c r="Y1281" s="29"/>
      <c r="Z1281" s="29"/>
      <c r="AA1281" s="29"/>
      <c r="AB1281" s="27" t="s">
        <v>2056</v>
      </c>
      <c r="AC1281" s="27"/>
      <c r="AD1281" s="27"/>
      <c r="AE1281" s="31">
        <f>2856</f>
        <v>2856</v>
      </c>
      <c r="AF1281" s="31"/>
      <c r="AG1281" s="31"/>
    </row>
    <row r="1282" spans="1:33" s="1" customFormat="1" ht="33" customHeight="1">
      <c r="A1282" s="24" t="s">
        <v>18</v>
      </c>
      <c r="B1282" s="25" t="s">
        <v>19</v>
      </c>
      <c r="C1282" s="25"/>
      <c r="D1282" s="25"/>
      <c r="E1282" s="26" t="s">
        <v>17</v>
      </c>
      <c r="F1282" s="26"/>
      <c r="G1282" s="26"/>
      <c r="H1282" s="26"/>
      <c r="I1282" s="26"/>
      <c r="J1282" s="27" t="s">
        <v>2056</v>
      </c>
      <c r="K1282" s="27"/>
      <c r="L1282" s="27"/>
      <c r="M1282" s="27"/>
      <c r="N1282" s="28">
        <f>2856</f>
        <v>2856</v>
      </c>
      <c r="O1282" s="28"/>
      <c r="P1282" s="28"/>
      <c r="Q1282" s="27" t="s">
        <v>2032</v>
      </c>
      <c r="R1282" s="27"/>
      <c r="S1282" s="29" t="s">
        <v>2032</v>
      </c>
      <c r="T1282" s="29"/>
      <c r="U1282" s="29"/>
      <c r="V1282" s="29"/>
      <c r="W1282" s="30" t="s">
        <v>2032</v>
      </c>
      <c r="X1282" s="29" t="s">
        <v>2032</v>
      </c>
      <c r="Y1282" s="29"/>
      <c r="Z1282" s="29"/>
      <c r="AA1282" s="29"/>
      <c r="AB1282" s="27" t="s">
        <v>2056</v>
      </c>
      <c r="AC1282" s="27"/>
      <c r="AD1282" s="27"/>
      <c r="AE1282" s="31">
        <f>2856</f>
        <v>2856</v>
      </c>
      <c r="AF1282" s="31"/>
      <c r="AG1282" s="31"/>
    </row>
    <row r="1283" spans="1:33" s="1" customFormat="1" ht="33" customHeight="1">
      <c r="A1283" s="24" t="s">
        <v>20</v>
      </c>
      <c r="B1283" s="25" t="s">
        <v>21</v>
      </c>
      <c r="C1283" s="25"/>
      <c r="D1283" s="25"/>
      <c r="E1283" s="26" t="s">
        <v>22</v>
      </c>
      <c r="F1283" s="26"/>
      <c r="G1283" s="26"/>
      <c r="H1283" s="26"/>
      <c r="I1283" s="26"/>
      <c r="J1283" s="27" t="s">
        <v>2056</v>
      </c>
      <c r="K1283" s="27"/>
      <c r="L1283" s="27"/>
      <c r="M1283" s="27"/>
      <c r="N1283" s="28">
        <f>2856</f>
        <v>2856</v>
      </c>
      <c r="O1283" s="28"/>
      <c r="P1283" s="28"/>
      <c r="Q1283" s="27" t="s">
        <v>2032</v>
      </c>
      <c r="R1283" s="27"/>
      <c r="S1283" s="29" t="s">
        <v>2032</v>
      </c>
      <c r="T1283" s="29"/>
      <c r="U1283" s="29"/>
      <c r="V1283" s="29"/>
      <c r="W1283" s="30" t="s">
        <v>2032</v>
      </c>
      <c r="X1283" s="29" t="s">
        <v>2032</v>
      </c>
      <c r="Y1283" s="29"/>
      <c r="Z1283" s="29"/>
      <c r="AA1283" s="29"/>
      <c r="AB1283" s="27" t="s">
        <v>2056</v>
      </c>
      <c r="AC1283" s="27"/>
      <c r="AD1283" s="27"/>
      <c r="AE1283" s="31">
        <f>2856</f>
        <v>2856</v>
      </c>
      <c r="AF1283" s="31"/>
      <c r="AG1283" s="31"/>
    </row>
    <row r="1284" spans="1:33" s="1" customFormat="1" ht="18.75" customHeight="1">
      <c r="A1284" s="24" t="s">
        <v>23</v>
      </c>
      <c r="B1284" s="25" t="s">
        <v>24</v>
      </c>
      <c r="C1284" s="25"/>
      <c r="D1284" s="25"/>
      <c r="E1284" s="26" t="s">
        <v>25</v>
      </c>
      <c r="F1284" s="26"/>
      <c r="G1284" s="26"/>
      <c r="H1284" s="26"/>
      <c r="I1284" s="26"/>
      <c r="J1284" s="27" t="s">
        <v>2056</v>
      </c>
      <c r="K1284" s="27"/>
      <c r="L1284" s="27"/>
      <c r="M1284" s="27"/>
      <c r="N1284" s="28">
        <f>2756.32</f>
        <v>2756.32</v>
      </c>
      <c r="O1284" s="28"/>
      <c r="P1284" s="28"/>
      <c r="Q1284" s="27" t="s">
        <v>2032</v>
      </c>
      <c r="R1284" s="27"/>
      <c r="S1284" s="29" t="s">
        <v>2032</v>
      </c>
      <c r="T1284" s="29"/>
      <c r="U1284" s="29"/>
      <c r="V1284" s="29"/>
      <c r="W1284" s="30" t="s">
        <v>2032</v>
      </c>
      <c r="X1284" s="29" t="s">
        <v>2032</v>
      </c>
      <c r="Y1284" s="29"/>
      <c r="Z1284" s="29"/>
      <c r="AA1284" s="29"/>
      <c r="AB1284" s="27" t="s">
        <v>2056</v>
      </c>
      <c r="AC1284" s="27"/>
      <c r="AD1284" s="27"/>
      <c r="AE1284" s="31">
        <f>2756.32</f>
        <v>2756.32</v>
      </c>
      <c r="AF1284" s="31"/>
      <c r="AG1284" s="31"/>
    </row>
    <row r="1285" spans="1:33" s="1" customFormat="1" ht="18.75" customHeight="1">
      <c r="A1285" s="24" t="s">
        <v>26</v>
      </c>
      <c r="B1285" s="25" t="s">
        <v>27</v>
      </c>
      <c r="C1285" s="25"/>
      <c r="D1285" s="25"/>
      <c r="E1285" s="26" t="s">
        <v>25</v>
      </c>
      <c r="F1285" s="26"/>
      <c r="G1285" s="26"/>
      <c r="H1285" s="26"/>
      <c r="I1285" s="26"/>
      <c r="J1285" s="27" t="s">
        <v>2056</v>
      </c>
      <c r="K1285" s="27"/>
      <c r="L1285" s="27"/>
      <c r="M1285" s="27"/>
      <c r="N1285" s="28">
        <f>2756.32</f>
        <v>2756.32</v>
      </c>
      <c r="O1285" s="28"/>
      <c r="P1285" s="28"/>
      <c r="Q1285" s="27" t="s">
        <v>2032</v>
      </c>
      <c r="R1285" s="27"/>
      <c r="S1285" s="29" t="s">
        <v>2032</v>
      </c>
      <c r="T1285" s="29"/>
      <c r="U1285" s="29"/>
      <c r="V1285" s="29"/>
      <c r="W1285" s="30" t="s">
        <v>2032</v>
      </c>
      <c r="X1285" s="29" t="s">
        <v>2032</v>
      </c>
      <c r="Y1285" s="29"/>
      <c r="Z1285" s="29"/>
      <c r="AA1285" s="29"/>
      <c r="AB1285" s="27" t="s">
        <v>2056</v>
      </c>
      <c r="AC1285" s="27"/>
      <c r="AD1285" s="27"/>
      <c r="AE1285" s="31">
        <f>2756.32</f>
        <v>2756.32</v>
      </c>
      <c r="AF1285" s="31"/>
      <c r="AG1285" s="31"/>
    </row>
    <row r="1286" spans="1:33" s="1" customFormat="1" ht="46.5" customHeight="1">
      <c r="A1286" s="24" t="s">
        <v>28</v>
      </c>
      <c r="B1286" s="25" t="s">
        <v>29</v>
      </c>
      <c r="C1286" s="25"/>
      <c r="D1286" s="25"/>
      <c r="E1286" s="26" t="s">
        <v>30</v>
      </c>
      <c r="F1286" s="26"/>
      <c r="G1286" s="26"/>
      <c r="H1286" s="26"/>
      <c r="I1286" s="26"/>
      <c r="J1286" s="27" t="s">
        <v>2056</v>
      </c>
      <c r="K1286" s="27"/>
      <c r="L1286" s="27"/>
      <c r="M1286" s="27"/>
      <c r="N1286" s="28">
        <f>2500</f>
        <v>2500</v>
      </c>
      <c r="O1286" s="28"/>
      <c r="P1286" s="28"/>
      <c r="Q1286" s="27" t="s">
        <v>2032</v>
      </c>
      <c r="R1286" s="27"/>
      <c r="S1286" s="29" t="s">
        <v>2032</v>
      </c>
      <c r="T1286" s="29"/>
      <c r="U1286" s="29"/>
      <c r="V1286" s="29"/>
      <c r="W1286" s="30" t="s">
        <v>2032</v>
      </c>
      <c r="X1286" s="29" t="s">
        <v>2032</v>
      </c>
      <c r="Y1286" s="29"/>
      <c r="Z1286" s="29"/>
      <c r="AA1286" s="29"/>
      <c r="AB1286" s="27" t="s">
        <v>2056</v>
      </c>
      <c r="AC1286" s="27"/>
      <c r="AD1286" s="27"/>
      <c r="AE1286" s="31">
        <f>2500</f>
        <v>2500</v>
      </c>
      <c r="AF1286" s="31"/>
      <c r="AG1286" s="31"/>
    </row>
    <row r="1287" spans="1:33" s="1" customFormat="1" ht="18.75" customHeight="1">
      <c r="A1287" s="24" t="s">
        <v>31</v>
      </c>
      <c r="B1287" s="25" t="s">
        <v>32</v>
      </c>
      <c r="C1287" s="25"/>
      <c r="D1287" s="25"/>
      <c r="E1287" s="26" t="s">
        <v>33</v>
      </c>
      <c r="F1287" s="26"/>
      <c r="G1287" s="26"/>
      <c r="H1287" s="26"/>
      <c r="I1287" s="26"/>
      <c r="J1287" s="27" t="s">
        <v>2056</v>
      </c>
      <c r="K1287" s="27"/>
      <c r="L1287" s="27"/>
      <c r="M1287" s="27"/>
      <c r="N1287" s="28">
        <f>2850</f>
        <v>2850</v>
      </c>
      <c r="O1287" s="28"/>
      <c r="P1287" s="28"/>
      <c r="Q1287" s="27" t="s">
        <v>2032</v>
      </c>
      <c r="R1287" s="27"/>
      <c r="S1287" s="29" t="s">
        <v>2032</v>
      </c>
      <c r="T1287" s="29"/>
      <c r="U1287" s="29"/>
      <c r="V1287" s="29"/>
      <c r="W1287" s="30" t="s">
        <v>2032</v>
      </c>
      <c r="X1287" s="29" t="s">
        <v>2032</v>
      </c>
      <c r="Y1287" s="29"/>
      <c r="Z1287" s="29"/>
      <c r="AA1287" s="29"/>
      <c r="AB1287" s="27" t="s">
        <v>2056</v>
      </c>
      <c r="AC1287" s="27"/>
      <c r="AD1287" s="27"/>
      <c r="AE1287" s="31">
        <f>2850</f>
        <v>2850</v>
      </c>
      <c r="AF1287" s="31"/>
      <c r="AG1287" s="31"/>
    </row>
    <row r="1288" spans="1:33" s="1" customFormat="1" ht="18.75" customHeight="1">
      <c r="A1288" s="24" t="s">
        <v>34</v>
      </c>
      <c r="B1288" s="25" t="s">
        <v>35</v>
      </c>
      <c r="C1288" s="25"/>
      <c r="D1288" s="25"/>
      <c r="E1288" s="26" t="s">
        <v>33</v>
      </c>
      <c r="F1288" s="26"/>
      <c r="G1288" s="26"/>
      <c r="H1288" s="26"/>
      <c r="I1288" s="26"/>
      <c r="J1288" s="27" t="s">
        <v>2056</v>
      </c>
      <c r="K1288" s="27"/>
      <c r="L1288" s="27"/>
      <c r="M1288" s="27"/>
      <c r="N1288" s="28">
        <f>2850</f>
        <v>2850</v>
      </c>
      <c r="O1288" s="28"/>
      <c r="P1288" s="28"/>
      <c r="Q1288" s="27" t="s">
        <v>2032</v>
      </c>
      <c r="R1288" s="27"/>
      <c r="S1288" s="29" t="s">
        <v>2032</v>
      </c>
      <c r="T1288" s="29"/>
      <c r="U1288" s="29"/>
      <c r="V1288" s="29"/>
      <c r="W1288" s="30" t="s">
        <v>2032</v>
      </c>
      <c r="X1288" s="29" t="s">
        <v>2032</v>
      </c>
      <c r="Y1288" s="29"/>
      <c r="Z1288" s="29"/>
      <c r="AA1288" s="29"/>
      <c r="AB1288" s="27" t="s">
        <v>2056</v>
      </c>
      <c r="AC1288" s="27"/>
      <c r="AD1288" s="27"/>
      <c r="AE1288" s="31">
        <f>2850</f>
        <v>2850</v>
      </c>
      <c r="AF1288" s="31"/>
      <c r="AG1288" s="31"/>
    </row>
    <row r="1289" spans="1:33" s="1" customFormat="1" ht="18.75" customHeight="1">
      <c r="A1289" s="24" t="s">
        <v>36</v>
      </c>
      <c r="B1289" s="25" t="s">
        <v>37</v>
      </c>
      <c r="C1289" s="25"/>
      <c r="D1289" s="25"/>
      <c r="E1289" s="26" t="s">
        <v>33</v>
      </c>
      <c r="F1289" s="26"/>
      <c r="G1289" s="26"/>
      <c r="H1289" s="26"/>
      <c r="I1289" s="26"/>
      <c r="J1289" s="27" t="s">
        <v>2056</v>
      </c>
      <c r="K1289" s="27"/>
      <c r="L1289" s="27"/>
      <c r="M1289" s="27"/>
      <c r="N1289" s="28">
        <f>2876.22</f>
        <v>2876.22</v>
      </c>
      <c r="O1289" s="28"/>
      <c r="P1289" s="28"/>
      <c r="Q1289" s="27" t="s">
        <v>2032</v>
      </c>
      <c r="R1289" s="27"/>
      <c r="S1289" s="29" t="s">
        <v>2032</v>
      </c>
      <c r="T1289" s="29"/>
      <c r="U1289" s="29"/>
      <c r="V1289" s="29"/>
      <c r="W1289" s="30" t="s">
        <v>2032</v>
      </c>
      <c r="X1289" s="29" t="s">
        <v>2032</v>
      </c>
      <c r="Y1289" s="29"/>
      <c r="Z1289" s="29"/>
      <c r="AA1289" s="29"/>
      <c r="AB1289" s="27" t="s">
        <v>2056</v>
      </c>
      <c r="AC1289" s="27"/>
      <c r="AD1289" s="27"/>
      <c r="AE1289" s="31">
        <f>2876.22</f>
        <v>2876.22</v>
      </c>
      <c r="AF1289" s="31"/>
      <c r="AG1289" s="31"/>
    </row>
    <row r="1290" spans="1:33" s="1" customFormat="1" ht="33" customHeight="1">
      <c r="A1290" s="24" t="s">
        <v>38</v>
      </c>
      <c r="B1290" s="25" t="s">
        <v>39</v>
      </c>
      <c r="C1290" s="25"/>
      <c r="D1290" s="25"/>
      <c r="E1290" s="26" t="s">
        <v>40</v>
      </c>
      <c r="F1290" s="26"/>
      <c r="G1290" s="26"/>
      <c r="H1290" s="26"/>
      <c r="I1290" s="26"/>
      <c r="J1290" s="27" t="s">
        <v>2056</v>
      </c>
      <c r="K1290" s="27"/>
      <c r="L1290" s="27"/>
      <c r="M1290" s="27"/>
      <c r="N1290" s="28">
        <f>2620</f>
        <v>2620</v>
      </c>
      <c r="O1290" s="28"/>
      <c r="P1290" s="28"/>
      <c r="Q1290" s="27" t="s">
        <v>2032</v>
      </c>
      <c r="R1290" s="27"/>
      <c r="S1290" s="29" t="s">
        <v>2032</v>
      </c>
      <c r="T1290" s="29"/>
      <c r="U1290" s="29"/>
      <c r="V1290" s="29"/>
      <c r="W1290" s="30" t="s">
        <v>2032</v>
      </c>
      <c r="X1290" s="29" t="s">
        <v>2032</v>
      </c>
      <c r="Y1290" s="29"/>
      <c r="Z1290" s="29"/>
      <c r="AA1290" s="29"/>
      <c r="AB1290" s="27" t="s">
        <v>2056</v>
      </c>
      <c r="AC1290" s="27"/>
      <c r="AD1290" s="27"/>
      <c r="AE1290" s="31">
        <f>2620</f>
        <v>2620</v>
      </c>
      <c r="AF1290" s="31"/>
      <c r="AG1290" s="31"/>
    </row>
    <row r="1291" spans="1:33" s="1" customFormat="1" ht="18.75" customHeight="1">
      <c r="A1291" s="24" t="s">
        <v>41</v>
      </c>
      <c r="B1291" s="25" t="s">
        <v>3596</v>
      </c>
      <c r="C1291" s="25"/>
      <c r="D1291" s="25"/>
      <c r="E1291" s="26" t="s">
        <v>42</v>
      </c>
      <c r="F1291" s="26"/>
      <c r="G1291" s="26"/>
      <c r="H1291" s="26"/>
      <c r="I1291" s="26"/>
      <c r="J1291" s="27" t="s">
        <v>2090</v>
      </c>
      <c r="K1291" s="27"/>
      <c r="L1291" s="27"/>
      <c r="M1291" s="27"/>
      <c r="N1291" s="28">
        <f>7773.92</f>
        <v>7773.92</v>
      </c>
      <c r="O1291" s="28"/>
      <c r="P1291" s="28"/>
      <c r="Q1291" s="27" t="s">
        <v>2032</v>
      </c>
      <c r="R1291" s="27"/>
      <c r="S1291" s="29" t="s">
        <v>2032</v>
      </c>
      <c r="T1291" s="29"/>
      <c r="U1291" s="29"/>
      <c r="V1291" s="29"/>
      <c r="W1291" s="30" t="s">
        <v>2032</v>
      </c>
      <c r="X1291" s="29" t="s">
        <v>2032</v>
      </c>
      <c r="Y1291" s="29"/>
      <c r="Z1291" s="29"/>
      <c r="AA1291" s="29"/>
      <c r="AB1291" s="27" t="s">
        <v>2090</v>
      </c>
      <c r="AC1291" s="27"/>
      <c r="AD1291" s="27"/>
      <c r="AE1291" s="31">
        <f>7773.92</f>
        <v>7773.92</v>
      </c>
      <c r="AF1291" s="31"/>
      <c r="AG1291" s="31"/>
    </row>
    <row r="1292" spans="1:33" s="1" customFormat="1" ht="33" customHeight="1">
      <c r="A1292" s="24" t="s">
        <v>43</v>
      </c>
      <c r="B1292" s="25" t="s">
        <v>44</v>
      </c>
      <c r="C1292" s="25"/>
      <c r="D1292" s="25"/>
      <c r="E1292" s="26" t="s">
        <v>45</v>
      </c>
      <c r="F1292" s="26"/>
      <c r="G1292" s="26"/>
      <c r="H1292" s="26"/>
      <c r="I1292" s="26"/>
      <c r="J1292" s="27" t="s">
        <v>2056</v>
      </c>
      <c r="K1292" s="27"/>
      <c r="L1292" s="27"/>
      <c r="M1292" s="27"/>
      <c r="N1292" s="28">
        <f>2331.68</f>
        <v>2331.68</v>
      </c>
      <c r="O1292" s="28"/>
      <c r="P1292" s="28"/>
      <c r="Q1292" s="27" t="s">
        <v>2032</v>
      </c>
      <c r="R1292" s="27"/>
      <c r="S1292" s="29" t="s">
        <v>2032</v>
      </c>
      <c r="T1292" s="29"/>
      <c r="U1292" s="29"/>
      <c r="V1292" s="29"/>
      <c r="W1292" s="30" t="s">
        <v>2032</v>
      </c>
      <c r="X1292" s="29" t="s">
        <v>2032</v>
      </c>
      <c r="Y1292" s="29"/>
      <c r="Z1292" s="29"/>
      <c r="AA1292" s="29"/>
      <c r="AB1292" s="27" t="s">
        <v>2056</v>
      </c>
      <c r="AC1292" s="27"/>
      <c r="AD1292" s="27"/>
      <c r="AE1292" s="31">
        <f>2331.68</f>
        <v>2331.68</v>
      </c>
      <c r="AF1292" s="31"/>
      <c r="AG1292" s="31"/>
    </row>
    <row r="1293" spans="1:33" s="1" customFormat="1" ht="18.75" customHeight="1">
      <c r="A1293" s="24" t="s">
        <v>46</v>
      </c>
      <c r="B1293" s="25" t="s">
        <v>47</v>
      </c>
      <c r="C1293" s="25"/>
      <c r="D1293" s="25"/>
      <c r="E1293" s="26" t="s">
        <v>48</v>
      </c>
      <c r="F1293" s="26"/>
      <c r="G1293" s="26"/>
      <c r="H1293" s="26"/>
      <c r="I1293" s="26"/>
      <c r="J1293" s="27" t="s">
        <v>2056</v>
      </c>
      <c r="K1293" s="27"/>
      <c r="L1293" s="27"/>
      <c r="M1293" s="27"/>
      <c r="N1293" s="28">
        <f>515.45</f>
        <v>515.45</v>
      </c>
      <c r="O1293" s="28"/>
      <c r="P1293" s="28"/>
      <c r="Q1293" s="27" t="s">
        <v>2032</v>
      </c>
      <c r="R1293" s="27"/>
      <c r="S1293" s="29" t="s">
        <v>2032</v>
      </c>
      <c r="T1293" s="29"/>
      <c r="U1293" s="29"/>
      <c r="V1293" s="29"/>
      <c r="W1293" s="30" t="s">
        <v>2032</v>
      </c>
      <c r="X1293" s="29" t="s">
        <v>2032</v>
      </c>
      <c r="Y1293" s="29"/>
      <c r="Z1293" s="29"/>
      <c r="AA1293" s="29"/>
      <c r="AB1293" s="27" t="s">
        <v>2056</v>
      </c>
      <c r="AC1293" s="27"/>
      <c r="AD1293" s="27"/>
      <c r="AE1293" s="31">
        <f>515.45</f>
        <v>515.45</v>
      </c>
      <c r="AF1293" s="31"/>
      <c r="AG1293" s="31"/>
    </row>
    <row r="1294" spans="1:33" s="1" customFormat="1" ht="18.75" customHeight="1">
      <c r="A1294" s="24" t="s">
        <v>49</v>
      </c>
      <c r="B1294" s="25" t="s">
        <v>50</v>
      </c>
      <c r="C1294" s="25"/>
      <c r="D1294" s="25"/>
      <c r="E1294" s="26" t="s">
        <v>48</v>
      </c>
      <c r="F1294" s="26"/>
      <c r="G1294" s="26"/>
      <c r="H1294" s="26"/>
      <c r="I1294" s="26"/>
      <c r="J1294" s="27" t="s">
        <v>2056</v>
      </c>
      <c r="K1294" s="27"/>
      <c r="L1294" s="27"/>
      <c r="M1294" s="27"/>
      <c r="N1294" s="28">
        <f>579.68</f>
        <v>579.68</v>
      </c>
      <c r="O1294" s="28"/>
      <c r="P1294" s="28"/>
      <c r="Q1294" s="27" t="s">
        <v>2032</v>
      </c>
      <c r="R1294" s="27"/>
      <c r="S1294" s="29" t="s">
        <v>2032</v>
      </c>
      <c r="T1294" s="29"/>
      <c r="U1294" s="29"/>
      <c r="V1294" s="29"/>
      <c r="W1294" s="30" t="s">
        <v>2032</v>
      </c>
      <c r="X1294" s="29" t="s">
        <v>2032</v>
      </c>
      <c r="Y1294" s="29"/>
      <c r="Z1294" s="29"/>
      <c r="AA1294" s="29"/>
      <c r="AB1294" s="27" t="s">
        <v>2056</v>
      </c>
      <c r="AC1294" s="27"/>
      <c r="AD1294" s="27"/>
      <c r="AE1294" s="31">
        <f>579.68</f>
        <v>579.68</v>
      </c>
      <c r="AF1294" s="31"/>
      <c r="AG1294" s="31"/>
    </row>
    <row r="1295" spans="1:33" s="1" customFormat="1" ht="18.75" customHeight="1">
      <c r="A1295" s="24" t="s">
        <v>51</v>
      </c>
      <c r="B1295" s="25" t="s">
        <v>52</v>
      </c>
      <c r="C1295" s="25"/>
      <c r="D1295" s="25"/>
      <c r="E1295" s="26" t="s">
        <v>53</v>
      </c>
      <c r="F1295" s="26"/>
      <c r="G1295" s="26"/>
      <c r="H1295" s="26"/>
      <c r="I1295" s="26"/>
      <c r="J1295" s="27" t="s">
        <v>2056</v>
      </c>
      <c r="K1295" s="27"/>
      <c r="L1295" s="27"/>
      <c r="M1295" s="27"/>
      <c r="N1295" s="28">
        <f>208.23</f>
        <v>208.23</v>
      </c>
      <c r="O1295" s="28"/>
      <c r="P1295" s="28"/>
      <c r="Q1295" s="27" t="s">
        <v>2032</v>
      </c>
      <c r="R1295" s="27"/>
      <c r="S1295" s="29" t="s">
        <v>2032</v>
      </c>
      <c r="T1295" s="29"/>
      <c r="U1295" s="29"/>
      <c r="V1295" s="29"/>
      <c r="W1295" s="30" t="s">
        <v>2032</v>
      </c>
      <c r="X1295" s="29" t="s">
        <v>2032</v>
      </c>
      <c r="Y1295" s="29"/>
      <c r="Z1295" s="29"/>
      <c r="AA1295" s="29"/>
      <c r="AB1295" s="27" t="s">
        <v>2056</v>
      </c>
      <c r="AC1295" s="27"/>
      <c r="AD1295" s="27"/>
      <c r="AE1295" s="31">
        <f>208.23</f>
        <v>208.23</v>
      </c>
      <c r="AF1295" s="31"/>
      <c r="AG1295" s="31"/>
    </row>
    <row r="1296" spans="1:33" s="1" customFormat="1" ht="33" customHeight="1">
      <c r="A1296" s="24" t="s">
        <v>54</v>
      </c>
      <c r="B1296" s="25" t="s">
        <v>55</v>
      </c>
      <c r="C1296" s="25"/>
      <c r="D1296" s="25"/>
      <c r="E1296" s="26" t="s">
        <v>56</v>
      </c>
      <c r="F1296" s="26"/>
      <c r="G1296" s="26"/>
      <c r="H1296" s="26"/>
      <c r="I1296" s="26"/>
      <c r="J1296" s="27" t="s">
        <v>2056</v>
      </c>
      <c r="K1296" s="27"/>
      <c r="L1296" s="27"/>
      <c r="M1296" s="27"/>
      <c r="N1296" s="28">
        <f>2430</f>
        <v>2430</v>
      </c>
      <c r="O1296" s="28"/>
      <c r="P1296" s="28"/>
      <c r="Q1296" s="27" t="s">
        <v>2032</v>
      </c>
      <c r="R1296" s="27"/>
      <c r="S1296" s="29" t="s">
        <v>2032</v>
      </c>
      <c r="T1296" s="29"/>
      <c r="U1296" s="29"/>
      <c r="V1296" s="29"/>
      <c r="W1296" s="30" t="s">
        <v>2032</v>
      </c>
      <c r="X1296" s="29" t="s">
        <v>2032</v>
      </c>
      <c r="Y1296" s="29"/>
      <c r="Z1296" s="29"/>
      <c r="AA1296" s="29"/>
      <c r="AB1296" s="27" t="s">
        <v>2056</v>
      </c>
      <c r="AC1296" s="27"/>
      <c r="AD1296" s="27"/>
      <c r="AE1296" s="31">
        <f>2430</f>
        <v>2430</v>
      </c>
      <c r="AF1296" s="31"/>
      <c r="AG1296" s="31"/>
    </row>
    <row r="1297" spans="1:33" s="1" customFormat="1" ht="33" customHeight="1">
      <c r="A1297" s="24" t="s">
        <v>57</v>
      </c>
      <c r="B1297" s="25" t="s">
        <v>58</v>
      </c>
      <c r="C1297" s="25"/>
      <c r="D1297" s="25"/>
      <c r="E1297" s="26" t="s">
        <v>59</v>
      </c>
      <c r="F1297" s="26"/>
      <c r="G1297" s="26"/>
      <c r="H1297" s="26"/>
      <c r="I1297" s="26"/>
      <c r="J1297" s="27" t="s">
        <v>2056</v>
      </c>
      <c r="K1297" s="27"/>
      <c r="L1297" s="27"/>
      <c r="M1297" s="27"/>
      <c r="N1297" s="28">
        <f>2560</f>
        <v>2560</v>
      </c>
      <c r="O1297" s="28"/>
      <c r="P1297" s="28"/>
      <c r="Q1297" s="27" t="s">
        <v>2032</v>
      </c>
      <c r="R1297" s="27"/>
      <c r="S1297" s="29" t="s">
        <v>2032</v>
      </c>
      <c r="T1297" s="29"/>
      <c r="U1297" s="29"/>
      <c r="V1297" s="29"/>
      <c r="W1297" s="30" t="s">
        <v>2032</v>
      </c>
      <c r="X1297" s="29" t="s">
        <v>2032</v>
      </c>
      <c r="Y1297" s="29"/>
      <c r="Z1297" s="29"/>
      <c r="AA1297" s="29"/>
      <c r="AB1297" s="27" t="s">
        <v>2056</v>
      </c>
      <c r="AC1297" s="27"/>
      <c r="AD1297" s="27"/>
      <c r="AE1297" s="31">
        <f>2560</f>
        <v>2560</v>
      </c>
      <c r="AF1297" s="31"/>
      <c r="AG1297" s="31"/>
    </row>
    <row r="1298" spans="1:33" s="1" customFormat="1" ht="18.75" customHeight="1">
      <c r="A1298" s="24" t="s">
        <v>60</v>
      </c>
      <c r="B1298" s="25" t="s">
        <v>61</v>
      </c>
      <c r="C1298" s="25"/>
      <c r="D1298" s="25"/>
      <c r="E1298" s="26" t="s">
        <v>62</v>
      </c>
      <c r="F1298" s="26"/>
      <c r="G1298" s="26"/>
      <c r="H1298" s="26"/>
      <c r="I1298" s="26"/>
      <c r="J1298" s="27" t="s">
        <v>2056</v>
      </c>
      <c r="K1298" s="27"/>
      <c r="L1298" s="27"/>
      <c r="M1298" s="27"/>
      <c r="N1298" s="28">
        <f>1606.5</f>
        <v>1606.5</v>
      </c>
      <c r="O1298" s="28"/>
      <c r="P1298" s="28"/>
      <c r="Q1298" s="27" t="s">
        <v>2032</v>
      </c>
      <c r="R1298" s="27"/>
      <c r="S1298" s="29" t="s">
        <v>2032</v>
      </c>
      <c r="T1298" s="29"/>
      <c r="U1298" s="29"/>
      <c r="V1298" s="29"/>
      <c r="W1298" s="30" t="s">
        <v>2032</v>
      </c>
      <c r="X1298" s="29" t="s">
        <v>2032</v>
      </c>
      <c r="Y1298" s="29"/>
      <c r="Z1298" s="29"/>
      <c r="AA1298" s="29"/>
      <c r="AB1298" s="27" t="s">
        <v>2056</v>
      </c>
      <c r="AC1298" s="27"/>
      <c r="AD1298" s="27"/>
      <c r="AE1298" s="31">
        <f>1606.5</f>
        <v>1606.5</v>
      </c>
      <c r="AF1298" s="31"/>
      <c r="AG1298" s="31"/>
    </row>
    <row r="1299" spans="1:33" s="1" customFormat="1" ht="18.75" customHeight="1">
      <c r="A1299" s="24" t="s">
        <v>63</v>
      </c>
      <c r="B1299" s="25" t="s">
        <v>64</v>
      </c>
      <c r="C1299" s="25"/>
      <c r="D1299" s="25"/>
      <c r="E1299" s="26" t="s">
        <v>62</v>
      </c>
      <c r="F1299" s="26"/>
      <c r="G1299" s="26"/>
      <c r="H1299" s="26"/>
      <c r="I1299" s="26"/>
      <c r="J1299" s="27" t="s">
        <v>2056</v>
      </c>
      <c r="K1299" s="27"/>
      <c r="L1299" s="27"/>
      <c r="M1299" s="27"/>
      <c r="N1299" s="28">
        <f>1606.5</f>
        <v>1606.5</v>
      </c>
      <c r="O1299" s="28"/>
      <c r="P1299" s="28"/>
      <c r="Q1299" s="27" t="s">
        <v>2032</v>
      </c>
      <c r="R1299" s="27"/>
      <c r="S1299" s="29" t="s">
        <v>2032</v>
      </c>
      <c r="T1299" s="29"/>
      <c r="U1299" s="29"/>
      <c r="V1299" s="29"/>
      <c r="W1299" s="30" t="s">
        <v>2032</v>
      </c>
      <c r="X1299" s="29" t="s">
        <v>2032</v>
      </c>
      <c r="Y1299" s="29"/>
      <c r="Z1299" s="29"/>
      <c r="AA1299" s="29"/>
      <c r="AB1299" s="27" t="s">
        <v>2056</v>
      </c>
      <c r="AC1299" s="27"/>
      <c r="AD1299" s="27"/>
      <c r="AE1299" s="31">
        <f>1606.5</f>
        <v>1606.5</v>
      </c>
      <c r="AF1299" s="31"/>
      <c r="AG1299" s="31"/>
    </row>
    <row r="1300" spans="1:33" s="1" customFormat="1" ht="33" customHeight="1">
      <c r="A1300" s="24" t="s">
        <v>65</v>
      </c>
      <c r="B1300" s="25" t="s">
        <v>66</v>
      </c>
      <c r="C1300" s="25"/>
      <c r="D1300" s="25"/>
      <c r="E1300" s="26" t="s">
        <v>67</v>
      </c>
      <c r="F1300" s="26"/>
      <c r="G1300" s="26"/>
      <c r="H1300" s="26"/>
      <c r="I1300" s="26"/>
      <c r="J1300" s="27" t="s">
        <v>2056</v>
      </c>
      <c r="K1300" s="27"/>
      <c r="L1300" s="27"/>
      <c r="M1300" s="27"/>
      <c r="N1300" s="28">
        <f>2990</f>
        <v>2990</v>
      </c>
      <c r="O1300" s="28"/>
      <c r="P1300" s="28"/>
      <c r="Q1300" s="27" t="s">
        <v>2032</v>
      </c>
      <c r="R1300" s="27"/>
      <c r="S1300" s="29" t="s">
        <v>2032</v>
      </c>
      <c r="T1300" s="29"/>
      <c r="U1300" s="29"/>
      <c r="V1300" s="29"/>
      <c r="W1300" s="30" t="s">
        <v>2032</v>
      </c>
      <c r="X1300" s="29" t="s">
        <v>2032</v>
      </c>
      <c r="Y1300" s="29"/>
      <c r="Z1300" s="29"/>
      <c r="AA1300" s="29"/>
      <c r="AB1300" s="27" t="s">
        <v>2056</v>
      </c>
      <c r="AC1300" s="27"/>
      <c r="AD1300" s="27"/>
      <c r="AE1300" s="31">
        <f>2990</f>
        <v>2990</v>
      </c>
      <c r="AF1300" s="31"/>
      <c r="AG1300" s="31"/>
    </row>
    <row r="1301" spans="1:33" s="1" customFormat="1" ht="33" customHeight="1">
      <c r="A1301" s="24" t="s">
        <v>68</v>
      </c>
      <c r="B1301" s="25" t="s">
        <v>69</v>
      </c>
      <c r="C1301" s="25"/>
      <c r="D1301" s="25"/>
      <c r="E1301" s="26" t="s">
        <v>67</v>
      </c>
      <c r="F1301" s="26"/>
      <c r="G1301" s="26"/>
      <c r="H1301" s="26"/>
      <c r="I1301" s="26"/>
      <c r="J1301" s="27" t="s">
        <v>2056</v>
      </c>
      <c r="K1301" s="27"/>
      <c r="L1301" s="27"/>
      <c r="M1301" s="27"/>
      <c r="N1301" s="28">
        <f>2990</f>
        <v>2990</v>
      </c>
      <c r="O1301" s="28"/>
      <c r="P1301" s="28"/>
      <c r="Q1301" s="27" t="s">
        <v>2032</v>
      </c>
      <c r="R1301" s="27"/>
      <c r="S1301" s="29" t="s">
        <v>2032</v>
      </c>
      <c r="T1301" s="29"/>
      <c r="U1301" s="29"/>
      <c r="V1301" s="29"/>
      <c r="W1301" s="30" t="s">
        <v>2032</v>
      </c>
      <c r="X1301" s="29" t="s">
        <v>2032</v>
      </c>
      <c r="Y1301" s="29"/>
      <c r="Z1301" s="29"/>
      <c r="AA1301" s="29"/>
      <c r="AB1301" s="27" t="s">
        <v>2056</v>
      </c>
      <c r="AC1301" s="27"/>
      <c r="AD1301" s="27"/>
      <c r="AE1301" s="31">
        <f>2990</f>
        <v>2990</v>
      </c>
      <c r="AF1301" s="31"/>
      <c r="AG1301" s="31"/>
    </row>
    <row r="1302" spans="1:33" s="1" customFormat="1" ht="33" customHeight="1">
      <c r="A1302" s="24" t="s">
        <v>70</v>
      </c>
      <c r="B1302" s="25" t="s">
        <v>71</v>
      </c>
      <c r="C1302" s="25"/>
      <c r="D1302" s="25"/>
      <c r="E1302" s="26" t="s">
        <v>67</v>
      </c>
      <c r="F1302" s="26"/>
      <c r="G1302" s="26"/>
      <c r="H1302" s="26"/>
      <c r="I1302" s="26"/>
      <c r="J1302" s="27" t="s">
        <v>2056</v>
      </c>
      <c r="K1302" s="27"/>
      <c r="L1302" s="27"/>
      <c r="M1302" s="27"/>
      <c r="N1302" s="28">
        <f>2990</f>
        <v>2990</v>
      </c>
      <c r="O1302" s="28"/>
      <c r="P1302" s="28"/>
      <c r="Q1302" s="27" t="s">
        <v>2032</v>
      </c>
      <c r="R1302" s="27"/>
      <c r="S1302" s="29" t="s">
        <v>2032</v>
      </c>
      <c r="T1302" s="29"/>
      <c r="U1302" s="29"/>
      <c r="V1302" s="29"/>
      <c r="W1302" s="30" t="s">
        <v>2032</v>
      </c>
      <c r="X1302" s="29" t="s">
        <v>2032</v>
      </c>
      <c r="Y1302" s="29"/>
      <c r="Z1302" s="29"/>
      <c r="AA1302" s="29"/>
      <c r="AB1302" s="27" t="s">
        <v>2056</v>
      </c>
      <c r="AC1302" s="27"/>
      <c r="AD1302" s="27"/>
      <c r="AE1302" s="31">
        <f>2990</f>
        <v>2990</v>
      </c>
      <c r="AF1302" s="31"/>
      <c r="AG1302" s="31"/>
    </row>
    <row r="1303" spans="1:33" s="1" customFormat="1" ht="18.75" customHeight="1">
      <c r="A1303" s="24" t="s">
        <v>72</v>
      </c>
      <c r="B1303" s="25" t="s">
        <v>73</v>
      </c>
      <c r="C1303" s="25"/>
      <c r="D1303" s="25"/>
      <c r="E1303" s="26" t="s">
        <v>74</v>
      </c>
      <c r="F1303" s="26"/>
      <c r="G1303" s="26"/>
      <c r="H1303" s="26"/>
      <c r="I1303" s="26"/>
      <c r="J1303" s="27" t="s">
        <v>2065</v>
      </c>
      <c r="K1303" s="27"/>
      <c r="L1303" s="27"/>
      <c r="M1303" s="27"/>
      <c r="N1303" s="28">
        <f>7496.28</f>
        <v>7496.28</v>
      </c>
      <c r="O1303" s="28"/>
      <c r="P1303" s="28"/>
      <c r="Q1303" s="27" t="s">
        <v>2032</v>
      </c>
      <c r="R1303" s="27"/>
      <c r="S1303" s="29" t="s">
        <v>2032</v>
      </c>
      <c r="T1303" s="29"/>
      <c r="U1303" s="29"/>
      <c r="V1303" s="29"/>
      <c r="W1303" s="30" t="s">
        <v>2032</v>
      </c>
      <c r="X1303" s="29" t="s">
        <v>2032</v>
      </c>
      <c r="Y1303" s="29"/>
      <c r="Z1303" s="29"/>
      <c r="AA1303" s="29"/>
      <c r="AB1303" s="27" t="s">
        <v>2065</v>
      </c>
      <c r="AC1303" s="27"/>
      <c r="AD1303" s="27"/>
      <c r="AE1303" s="31">
        <f>7496.28</f>
        <v>7496.28</v>
      </c>
      <c r="AF1303" s="31"/>
      <c r="AG1303" s="31"/>
    </row>
    <row r="1304" spans="1:33" s="1" customFormat="1" ht="18.75" customHeight="1">
      <c r="A1304" s="24" t="s">
        <v>75</v>
      </c>
      <c r="B1304" s="25" t="s">
        <v>76</v>
      </c>
      <c r="C1304" s="25"/>
      <c r="D1304" s="25"/>
      <c r="E1304" s="26" t="s">
        <v>77</v>
      </c>
      <c r="F1304" s="26"/>
      <c r="G1304" s="26"/>
      <c r="H1304" s="26"/>
      <c r="I1304" s="26"/>
      <c r="J1304" s="27" t="s">
        <v>2056</v>
      </c>
      <c r="K1304" s="27"/>
      <c r="L1304" s="27"/>
      <c r="M1304" s="27"/>
      <c r="N1304" s="28">
        <f>2320</f>
        <v>2320</v>
      </c>
      <c r="O1304" s="28"/>
      <c r="P1304" s="28"/>
      <c r="Q1304" s="27" t="s">
        <v>2032</v>
      </c>
      <c r="R1304" s="27"/>
      <c r="S1304" s="29" t="s">
        <v>2032</v>
      </c>
      <c r="T1304" s="29"/>
      <c r="U1304" s="29"/>
      <c r="V1304" s="29"/>
      <c r="W1304" s="30" t="s">
        <v>2032</v>
      </c>
      <c r="X1304" s="29" t="s">
        <v>2032</v>
      </c>
      <c r="Y1304" s="29"/>
      <c r="Z1304" s="29"/>
      <c r="AA1304" s="29"/>
      <c r="AB1304" s="27" t="s">
        <v>2056</v>
      </c>
      <c r="AC1304" s="27"/>
      <c r="AD1304" s="27"/>
      <c r="AE1304" s="31">
        <f>2320</f>
        <v>2320</v>
      </c>
      <c r="AF1304" s="31"/>
      <c r="AG1304" s="31"/>
    </row>
    <row r="1305" spans="1:33" s="1" customFormat="1" ht="33" customHeight="1">
      <c r="A1305" s="24" t="s">
        <v>78</v>
      </c>
      <c r="B1305" s="25" t="s">
        <v>79</v>
      </c>
      <c r="C1305" s="25"/>
      <c r="D1305" s="25"/>
      <c r="E1305" s="26" t="s">
        <v>80</v>
      </c>
      <c r="F1305" s="26"/>
      <c r="G1305" s="26"/>
      <c r="H1305" s="26"/>
      <c r="I1305" s="26"/>
      <c r="J1305" s="27" t="s">
        <v>2198</v>
      </c>
      <c r="K1305" s="27"/>
      <c r="L1305" s="27"/>
      <c r="M1305" s="27"/>
      <c r="N1305" s="28">
        <f>430</f>
        <v>430</v>
      </c>
      <c r="O1305" s="28"/>
      <c r="P1305" s="28"/>
      <c r="Q1305" s="27" t="s">
        <v>2032</v>
      </c>
      <c r="R1305" s="27"/>
      <c r="S1305" s="29" t="s">
        <v>2032</v>
      </c>
      <c r="T1305" s="29"/>
      <c r="U1305" s="29"/>
      <c r="V1305" s="29"/>
      <c r="W1305" s="30" t="s">
        <v>2032</v>
      </c>
      <c r="X1305" s="29" t="s">
        <v>2032</v>
      </c>
      <c r="Y1305" s="29"/>
      <c r="Z1305" s="29"/>
      <c r="AA1305" s="29"/>
      <c r="AB1305" s="27" t="s">
        <v>2198</v>
      </c>
      <c r="AC1305" s="27"/>
      <c r="AD1305" s="27"/>
      <c r="AE1305" s="31">
        <f>430</f>
        <v>430</v>
      </c>
      <c r="AF1305" s="31"/>
      <c r="AG1305" s="31"/>
    </row>
    <row r="1306" spans="1:33" s="1" customFormat="1" ht="33" customHeight="1">
      <c r="A1306" s="24" t="s">
        <v>81</v>
      </c>
      <c r="B1306" s="25" t="s">
        <v>82</v>
      </c>
      <c r="C1306" s="25"/>
      <c r="D1306" s="25"/>
      <c r="E1306" s="26" t="s">
        <v>83</v>
      </c>
      <c r="F1306" s="26"/>
      <c r="G1306" s="26"/>
      <c r="H1306" s="26"/>
      <c r="I1306" s="26"/>
      <c r="J1306" s="27" t="s">
        <v>2599</v>
      </c>
      <c r="K1306" s="27"/>
      <c r="L1306" s="27"/>
      <c r="M1306" s="27"/>
      <c r="N1306" s="28">
        <f>420</f>
        <v>420</v>
      </c>
      <c r="O1306" s="28"/>
      <c r="P1306" s="28"/>
      <c r="Q1306" s="27" t="s">
        <v>2032</v>
      </c>
      <c r="R1306" s="27"/>
      <c r="S1306" s="29" t="s">
        <v>2032</v>
      </c>
      <c r="T1306" s="29"/>
      <c r="U1306" s="29"/>
      <c r="V1306" s="29"/>
      <c r="W1306" s="30" t="s">
        <v>2032</v>
      </c>
      <c r="X1306" s="29" t="s">
        <v>2032</v>
      </c>
      <c r="Y1306" s="29"/>
      <c r="Z1306" s="29"/>
      <c r="AA1306" s="29"/>
      <c r="AB1306" s="27" t="s">
        <v>2599</v>
      </c>
      <c r="AC1306" s="27"/>
      <c r="AD1306" s="27"/>
      <c r="AE1306" s="31">
        <f>420</f>
        <v>420</v>
      </c>
      <c r="AF1306" s="31"/>
      <c r="AG1306" s="31"/>
    </row>
    <row r="1307" spans="1:33" s="1" customFormat="1" ht="18.75" customHeight="1">
      <c r="A1307" s="24" t="s">
        <v>84</v>
      </c>
      <c r="B1307" s="25" t="s">
        <v>85</v>
      </c>
      <c r="C1307" s="25"/>
      <c r="D1307" s="25"/>
      <c r="E1307" s="26" t="s">
        <v>86</v>
      </c>
      <c r="F1307" s="26"/>
      <c r="G1307" s="26"/>
      <c r="H1307" s="26"/>
      <c r="I1307" s="26"/>
      <c r="J1307" s="27" t="s">
        <v>2060</v>
      </c>
      <c r="K1307" s="27"/>
      <c r="L1307" s="27"/>
      <c r="M1307" s="27"/>
      <c r="N1307" s="28">
        <f>377.84</f>
        <v>377.84</v>
      </c>
      <c r="O1307" s="28"/>
      <c r="P1307" s="28"/>
      <c r="Q1307" s="27" t="s">
        <v>2032</v>
      </c>
      <c r="R1307" s="27"/>
      <c r="S1307" s="29" t="s">
        <v>2032</v>
      </c>
      <c r="T1307" s="29"/>
      <c r="U1307" s="29"/>
      <c r="V1307" s="29"/>
      <c r="W1307" s="30" t="s">
        <v>2032</v>
      </c>
      <c r="X1307" s="29" t="s">
        <v>2032</v>
      </c>
      <c r="Y1307" s="29"/>
      <c r="Z1307" s="29"/>
      <c r="AA1307" s="29"/>
      <c r="AB1307" s="27" t="s">
        <v>2060</v>
      </c>
      <c r="AC1307" s="27"/>
      <c r="AD1307" s="27"/>
      <c r="AE1307" s="31">
        <f>377.84</f>
        <v>377.84</v>
      </c>
      <c r="AF1307" s="31"/>
      <c r="AG1307" s="31"/>
    </row>
    <row r="1308" spans="1:33" s="1" customFormat="1" ht="18.75" customHeight="1">
      <c r="A1308" s="24" t="s">
        <v>87</v>
      </c>
      <c r="B1308" s="25" t="s">
        <v>328</v>
      </c>
      <c r="C1308" s="25"/>
      <c r="D1308" s="25"/>
      <c r="E1308" s="26" t="s">
        <v>88</v>
      </c>
      <c r="F1308" s="26"/>
      <c r="G1308" s="26"/>
      <c r="H1308" s="26"/>
      <c r="I1308" s="26"/>
      <c r="J1308" s="27" t="s">
        <v>2066</v>
      </c>
      <c r="K1308" s="27"/>
      <c r="L1308" s="27"/>
      <c r="M1308" s="27"/>
      <c r="N1308" s="28">
        <f>803.66</f>
        <v>803.66</v>
      </c>
      <c r="O1308" s="28"/>
      <c r="P1308" s="28"/>
      <c r="Q1308" s="27" t="s">
        <v>2032</v>
      </c>
      <c r="R1308" s="27"/>
      <c r="S1308" s="29" t="s">
        <v>2032</v>
      </c>
      <c r="T1308" s="29"/>
      <c r="U1308" s="29"/>
      <c r="V1308" s="29"/>
      <c r="W1308" s="30" t="s">
        <v>2032</v>
      </c>
      <c r="X1308" s="29" t="s">
        <v>2032</v>
      </c>
      <c r="Y1308" s="29"/>
      <c r="Z1308" s="29"/>
      <c r="AA1308" s="29"/>
      <c r="AB1308" s="27" t="s">
        <v>2066</v>
      </c>
      <c r="AC1308" s="27"/>
      <c r="AD1308" s="27"/>
      <c r="AE1308" s="31">
        <f>803.66</f>
        <v>803.66</v>
      </c>
      <c r="AF1308" s="31"/>
      <c r="AG1308" s="31"/>
    </row>
    <row r="1309" spans="1:33" s="1" customFormat="1" ht="18.75" customHeight="1">
      <c r="A1309" s="24" t="s">
        <v>89</v>
      </c>
      <c r="B1309" s="25" t="s">
        <v>90</v>
      </c>
      <c r="C1309" s="25"/>
      <c r="D1309" s="25"/>
      <c r="E1309" s="26" t="s">
        <v>91</v>
      </c>
      <c r="F1309" s="26"/>
      <c r="G1309" s="26"/>
      <c r="H1309" s="26"/>
      <c r="I1309" s="26"/>
      <c r="J1309" s="27" t="s">
        <v>2059</v>
      </c>
      <c r="K1309" s="27"/>
      <c r="L1309" s="27"/>
      <c r="M1309" s="27"/>
      <c r="N1309" s="28">
        <f>1440</f>
        <v>1440</v>
      </c>
      <c r="O1309" s="28"/>
      <c r="P1309" s="28"/>
      <c r="Q1309" s="27" t="s">
        <v>2032</v>
      </c>
      <c r="R1309" s="27"/>
      <c r="S1309" s="29" t="s">
        <v>2032</v>
      </c>
      <c r="T1309" s="29"/>
      <c r="U1309" s="29"/>
      <c r="V1309" s="29"/>
      <c r="W1309" s="30" t="s">
        <v>2032</v>
      </c>
      <c r="X1309" s="29" t="s">
        <v>2032</v>
      </c>
      <c r="Y1309" s="29"/>
      <c r="Z1309" s="29"/>
      <c r="AA1309" s="29"/>
      <c r="AB1309" s="27" t="s">
        <v>2059</v>
      </c>
      <c r="AC1309" s="27"/>
      <c r="AD1309" s="27"/>
      <c r="AE1309" s="31">
        <f>1440</f>
        <v>1440</v>
      </c>
      <c r="AF1309" s="31"/>
      <c r="AG1309" s="31"/>
    </row>
    <row r="1310" spans="1:33" s="1" customFormat="1" ht="18.75" customHeight="1">
      <c r="A1310" s="24" t="s">
        <v>92</v>
      </c>
      <c r="B1310" s="25" t="s">
        <v>93</v>
      </c>
      <c r="C1310" s="25"/>
      <c r="D1310" s="25"/>
      <c r="E1310" s="26" t="s">
        <v>94</v>
      </c>
      <c r="F1310" s="26"/>
      <c r="G1310" s="26"/>
      <c r="H1310" s="26"/>
      <c r="I1310" s="26"/>
      <c r="J1310" s="27" t="s">
        <v>2059</v>
      </c>
      <c r="K1310" s="27"/>
      <c r="L1310" s="27"/>
      <c r="M1310" s="27"/>
      <c r="N1310" s="28">
        <f>1170</f>
        <v>1170</v>
      </c>
      <c r="O1310" s="28"/>
      <c r="P1310" s="28"/>
      <c r="Q1310" s="27" t="s">
        <v>2032</v>
      </c>
      <c r="R1310" s="27"/>
      <c r="S1310" s="29" t="s">
        <v>2032</v>
      </c>
      <c r="T1310" s="29"/>
      <c r="U1310" s="29"/>
      <c r="V1310" s="29"/>
      <c r="W1310" s="30" t="s">
        <v>2032</v>
      </c>
      <c r="X1310" s="29" t="s">
        <v>2032</v>
      </c>
      <c r="Y1310" s="29"/>
      <c r="Z1310" s="29"/>
      <c r="AA1310" s="29"/>
      <c r="AB1310" s="27" t="s">
        <v>2059</v>
      </c>
      <c r="AC1310" s="27"/>
      <c r="AD1310" s="27"/>
      <c r="AE1310" s="31">
        <f>1170</f>
        <v>1170</v>
      </c>
      <c r="AF1310" s="31"/>
      <c r="AG1310" s="31"/>
    </row>
    <row r="1311" spans="1:33" s="1" customFormat="1" ht="18.75" customHeight="1">
      <c r="A1311" s="24" t="s">
        <v>95</v>
      </c>
      <c r="B1311" s="25" t="s">
        <v>96</v>
      </c>
      <c r="C1311" s="25"/>
      <c r="D1311" s="25"/>
      <c r="E1311" s="26" t="s">
        <v>97</v>
      </c>
      <c r="F1311" s="26"/>
      <c r="G1311" s="26"/>
      <c r="H1311" s="26"/>
      <c r="I1311" s="26"/>
      <c r="J1311" s="27" t="s">
        <v>2057</v>
      </c>
      <c r="K1311" s="27"/>
      <c r="L1311" s="27"/>
      <c r="M1311" s="27"/>
      <c r="N1311" s="28">
        <f>954</f>
        <v>954</v>
      </c>
      <c r="O1311" s="28"/>
      <c r="P1311" s="28"/>
      <c r="Q1311" s="27" t="s">
        <v>2032</v>
      </c>
      <c r="R1311" s="27"/>
      <c r="S1311" s="29" t="s">
        <v>2032</v>
      </c>
      <c r="T1311" s="29"/>
      <c r="U1311" s="29"/>
      <c r="V1311" s="29"/>
      <c r="W1311" s="30" t="s">
        <v>2032</v>
      </c>
      <c r="X1311" s="29" t="s">
        <v>2032</v>
      </c>
      <c r="Y1311" s="29"/>
      <c r="Z1311" s="29"/>
      <c r="AA1311" s="29"/>
      <c r="AB1311" s="27" t="s">
        <v>2057</v>
      </c>
      <c r="AC1311" s="27"/>
      <c r="AD1311" s="27"/>
      <c r="AE1311" s="31">
        <f>954</f>
        <v>954</v>
      </c>
      <c r="AF1311" s="31"/>
      <c r="AG1311" s="31"/>
    </row>
    <row r="1312" spans="1:33" s="1" customFormat="1" ht="18.75" customHeight="1">
      <c r="A1312" s="24" t="s">
        <v>98</v>
      </c>
      <c r="B1312" s="25" t="s">
        <v>99</v>
      </c>
      <c r="C1312" s="25"/>
      <c r="D1312" s="25"/>
      <c r="E1312" s="26" t="s">
        <v>97</v>
      </c>
      <c r="F1312" s="26"/>
      <c r="G1312" s="26"/>
      <c r="H1312" s="26"/>
      <c r="I1312" s="26"/>
      <c r="J1312" s="27" t="s">
        <v>2057</v>
      </c>
      <c r="K1312" s="27"/>
      <c r="L1312" s="27"/>
      <c r="M1312" s="27"/>
      <c r="N1312" s="28">
        <f>1272</f>
        <v>1272</v>
      </c>
      <c r="O1312" s="28"/>
      <c r="P1312" s="28"/>
      <c r="Q1312" s="27" t="s">
        <v>2032</v>
      </c>
      <c r="R1312" s="27"/>
      <c r="S1312" s="29" t="s">
        <v>2032</v>
      </c>
      <c r="T1312" s="29"/>
      <c r="U1312" s="29"/>
      <c r="V1312" s="29"/>
      <c r="W1312" s="30" t="s">
        <v>2032</v>
      </c>
      <c r="X1312" s="29" t="s">
        <v>2032</v>
      </c>
      <c r="Y1312" s="29"/>
      <c r="Z1312" s="29"/>
      <c r="AA1312" s="29"/>
      <c r="AB1312" s="27" t="s">
        <v>2057</v>
      </c>
      <c r="AC1312" s="27"/>
      <c r="AD1312" s="27"/>
      <c r="AE1312" s="31">
        <f>1272</f>
        <v>1272</v>
      </c>
      <c r="AF1312" s="31"/>
      <c r="AG1312" s="31"/>
    </row>
    <row r="1313" spans="1:33" s="1" customFormat="1" ht="33" customHeight="1">
      <c r="A1313" s="24" t="s">
        <v>100</v>
      </c>
      <c r="B1313" s="25" t="s">
        <v>101</v>
      </c>
      <c r="C1313" s="25"/>
      <c r="D1313" s="25"/>
      <c r="E1313" s="26" t="s">
        <v>102</v>
      </c>
      <c r="F1313" s="26"/>
      <c r="G1313" s="26"/>
      <c r="H1313" s="26"/>
      <c r="I1313" s="26"/>
      <c r="J1313" s="27" t="s">
        <v>2057</v>
      </c>
      <c r="K1313" s="27"/>
      <c r="L1313" s="27"/>
      <c r="M1313" s="27"/>
      <c r="N1313" s="28">
        <f>363.76</f>
        <v>363.76</v>
      </c>
      <c r="O1313" s="28"/>
      <c r="P1313" s="28"/>
      <c r="Q1313" s="27" t="s">
        <v>2032</v>
      </c>
      <c r="R1313" s="27"/>
      <c r="S1313" s="29" t="s">
        <v>2032</v>
      </c>
      <c r="T1313" s="29"/>
      <c r="U1313" s="29"/>
      <c r="V1313" s="29"/>
      <c r="W1313" s="30" t="s">
        <v>2032</v>
      </c>
      <c r="X1313" s="29" t="s">
        <v>2032</v>
      </c>
      <c r="Y1313" s="29"/>
      <c r="Z1313" s="29"/>
      <c r="AA1313" s="29"/>
      <c r="AB1313" s="27" t="s">
        <v>2057</v>
      </c>
      <c r="AC1313" s="27"/>
      <c r="AD1313" s="27"/>
      <c r="AE1313" s="31">
        <f>363.76</f>
        <v>363.76</v>
      </c>
      <c r="AF1313" s="31"/>
      <c r="AG1313" s="31"/>
    </row>
    <row r="1314" spans="1:33" s="1" customFormat="1" ht="33" customHeight="1">
      <c r="A1314" s="24" t="s">
        <v>103</v>
      </c>
      <c r="B1314" s="25" t="s">
        <v>104</v>
      </c>
      <c r="C1314" s="25"/>
      <c r="D1314" s="25"/>
      <c r="E1314" s="26" t="s">
        <v>105</v>
      </c>
      <c r="F1314" s="26"/>
      <c r="G1314" s="26"/>
      <c r="H1314" s="26"/>
      <c r="I1314" s="26"/>
      <c r="J1314" s="27" t="s">
        <v>2057</v>
      </c>
      <c r="K1314" s="27"/>
      <c r="L1314" s="27"/>
      <c r="M1314" s="27"/>
      <c r="N1314" s="28">
        <f>1091.24</f>
        <v>1091.24</v>
      </c>
      <c r="O1314" s="28"/>
      <c r="P1314" s="28"/>
      <c r="Q1314" s="27" t="s">
        <v>2032</v>
      </c>
      <c r="R1314" s="27"/>
      <c r="S1314" s="29" t="s">
        <v>2032</v>
      </c>
      <c r="T1314" s="29"/>
      <c r="U1314" s="29"/>
      <c r="V1314" s="29"/>
      <c r="W1314" s="30" t="s">
        <v>2032</v>
      </c>
      <c r="X1314" s="29" t="s">
        <v>2032</v>
      </c>
      <c r="Y1314" s="29"/>
      <c r="Z1314" s="29"/>
      <c r="AA1314" s="29"/>
      <c r="AB1314" s="27" t="s">
        <v>2057</v>
      </c>
      <c r="AC1314" s="27"/>
      <c r="AD1314" s="27"/>
      <c r="AE1314" s="31">
        <f>1091.24</f>
        <v>1091.24</v>
      </c>
      <c r="AF1314" s="31"/>
      <c r="AG1314" s="31"/>
    </row>
    <row r="1315" spans="1:33" s="1" customFormat="1" ht="18.75" customHeight="1">
      <c r="A1315" s="24" t="s">
        <v>106</v>
      </c>
      <c r="B1315" s="25" t="s">
        <v>821</v>
      </c>
      <c r="C1315" s="25"/>
      <c r="D1315" s="25"/>
      <c r="E1315" s="26" t="s">
        <v>107</v>
      </c>
      <c r="F1315" s="26"/>
      <c r="G1315" s="26"/>
      <c r="H1315" s="26"/>
      <c r="I1315" s="26"/>
      <c r="J1315" s="27" t="s">
        <v>2056</v>
      </c>
      <c r="K1315" s="27"/>
      <c r="L1315" s="27"/>
      <c r="M1315" s="27"/>
      <c r="N1315" s="28">
        <f>0.02</f>
        <v>0.02</v>
      </c>
      <c r="O1315" s="28"/>
      <c r="P1315" s="28"/>
      <c r="Q1315" s="27" t="s">
        <v>2032</v>
      </c>
      <c r="R1315" s="27"/>
      <c r="S1315" s="29" t="s">
        <v>2032</v>
      </c>
      <c r="T1315" s="29"/>
      <c r="U1315" s="29"/>
      <c r="V1315" s="29"/>
      <c r="W1315" s="30" t="s">
        <v>2032</v>
      </c>
      <c r="X1315" s="29" t="s">
        <v>2032</v>
      </c>
      <c r="Y1315" s="29"/>
      <c r="Z1315" s="29"/>
      <c r="AA1315" s="29"/>
      <c r="AB1315" s="27" t="s">
        <v>2056</v>
      </c>
      <c r="AC1315" s="27"/>
      <c r="AD1315" s="27"/>
      <c r="AE1315" s="31">
        <f>0.02</f>
        <v>0.02</v>
      </c>
      <c r="AF1315" s="31"/>
      <c r="AG1315" s="31"/>
    </row>
    <row r="1316" spans="1:33" s="1" customFormat="1" ht="18.75" customHeight="1">
      <c r="A1316" s="24" t="s">
        <v>108</v>
      </c>
      <c r="B1316" s="25" t="s">
        <v>2513</v>
      </c>
      <c r="C1316" s="25"/>
      <c r="D1316" s="25"/>
      <c r="E1316" s="26" t="s">
        <v>109</v>
      </c>
      <c r="F1316" s="26"/>
      <c r="G1316" s="26"/>
      <c r="H1316" s="26"/>
      <c r="I1316" s="26"/>
      <c r="J1316" s="27" t="s">
        <v>2059</v>
      </c>
      <c r="K1316" s="27"/>
      <c r="L1316" s="27"/>
      <c r="M1316" s="27"/>
      <c r="N1316" s="28">
        <f>562.8</f>
        <v>562.8</v>
      </c>
      <c r="O1316" s="28"/>
      <c r="P1316" s="28"/>
      <c r="Q1316" s="27" t="s">
        <v>2032</v>
      </c>
      <c r="R1316" s="27"/>
      <c r="S1316" s="29" t="s">
        <v>2032</v>
      </c>
      <c r="T1316" s="29"/>
      <c r="U1316" s="29"/>
      <c r="V1316" s="29"/>
      <c r="W1316" s="30" t="s">
        <v>2032</v>
      </c>
      <c r="X1316" s="29" t="s">
        <v>2032</v>
      </c>
      <c r="Y1316" s="29"/>
      <c r="Z1316" s="29"/>
      <c r="AA1316" s="29"/>
      <c r="AB1316" s="27" t="s">
        <v>2059</v>
      </c>
      <c r="AC1316" s="27"/>
      <c r="AD1316" s="27"/>
      <c r="AE1316" s="31">
        <f>562.8</f>
        <v>562.8</v>
      </c>
      <c r="AF1316" s="31"/>
      <c r="AG1316" s="31"/>
    </row>
    <row r="1317" spans="1:33" s="1" customFormat="1" ht="18.75" customHeight="1">
      <c r="A1317" s="24" t="s">
        <v>110</v>
      </c>
      <c r="B1317" s="25" t="s">
        <v>2633</v>
      </c>
      <c r="C1317" s="25"/>
      <c r="D1317" s="25"/>
      <c r="E1317" s="26" t="s">
        <v>111</v>
      </c>
      <c r="F1317" s="26"/>
      <c r="G1317" s="26"/>
      <c r="H1317" s="26"/>
      <c r="I1317" s="26"/>
      <c r="J1317" s="27" t="s">
        <v>2061</v>
      </c>
      <c r="K1317" s="27"/>
      <c r="L1317" s="27"/>
      <c r="M1317" s="27"/>
      <c r="N1317" s="28">
        <f>1017.48</f>
        <v>1017.48</v>
      </c>
      <c r="O1317" s="28"/>
      <c r="P1317" s="28"/>
      <c r="Q1317" s="27" t="s">
        <v>2032</v>
      </c>
      <c r="R1317" s="27"/>
      <c r="S1317" s="29" t="s">
        <v>2032</v>
      </c>
      <c r="T1317" s="29"/>
      <c r="U1317" s="29"/>
      <c r="V1317" s="29"/>
      <c r="W1317" s="30" t="s">
        <v>2032</v>
      </c>
      <c r="X1317" s="29" t="s">
        <v>2032</v>
      </c>
      <c r="Y1317" s="29"/>
      <c r="Z1317" s="29"/>
      <c r="AA1317" s="29"/>
      <c r="AB1317" s="27" t="s">
        <v>2061</v>
      </c>
      <c r="AC1317" s="27"/>
      <c r="AD1317" s="27"/>
      <c r="AE1317" s="31">
        <f>1017.48</f>
        <v>1017.48</v>
      </c>
      <c r="AF1317" s="31"/>
      <c r="AG1317" s="31"/>
    </row>
    <row r="1318" spans="1:33" s="1" customFormat="1" ht="18.75" customHeight="1">
      <c r="A1318" s="24" t="s">
        <v>112</v>
      </c>
      <c r="B1318" s="25" t="s">
        <v>2474</v>
      </c>
      <c r="C1318" s="25"/>
      <c r="D1318" s="25"/>
      <c r="E1318" s="26" t="s">
        <v>113</v>
      </c>
      <c r="F1318" s="26"/>
      <c r="G1318" s="26"/>
      <c r="H1318" s="26"/>
      <c r="I1318" s="26"/>
      <c r="J1318" s="27" t="s">
        <v>2056</v>
      </c>
      <c r="K1318" s="27"/>
      <c r="L1318" s="27"/>
      <c r="M1318" s="27"/>
      <c r="N1318" s="28">
        <f>474</f>
        <v>474</v>
      </c>
      <c r="O1318" s="28"/>
      <c r="P1318" s="28"/>
      <c r="Q1318" s="27" t="s">
        <v>2032</v>
      </c>
      <c r="R1318" s="27"/>
      <c r="S1318" s="29" t="s">
        <v>2032</v>
      </c>
      <c r="T1318" s="29"/>
      <c r="U1318" s="29"/>
      <c r="V1318" s="29"/>
      <c r="W1318" s="30" t="s">
        <v>2032</v>
      </c>
      <c r="X1318" s="29" t="s">
        <v>2032</v>
      </c>
      <c r="Y1318" s="29"/>
      <c r="Z1318" s="29"/>
      <c r="AA1318" s="29"/>
      <c r="AB1318" s="27" t="s">
        <v>2056</v>
      </c>
      <c r="AC1318" s="27"/>
      <c r="AD1318" s="27"/>
      <c r="AE1318" s="31">
        <f>474</f>
        <v>474</v>
      </c>
      <c r="AF1318" s="31"/>
      <c r="AG1318" s="31"/>
    </row>
    <row r="1319" spans="1:33" s="1" customFormat="1" ht="33" customHeight="1">
      <c r="A1319" s="24" t="s">
        <v>114</v>
      </c>
      <c r="B1319" s="25" t="s">
        <v>115</v>
      </c>
      <c r="C1319" s="25"/>
      <c r="D1319" s="25"/>
      <c r="E1319" s="26" t="s">
        <v>116</v>
      </c>
      <c r="F1319" s="26"/>
      <c r="G1319" s="26"/>
      <c r="H1319" s="26"/>
      <c r="I1319" s="26"/>
      <c r="J1319" s="27" t="s">
        <v>2085</v>
      </c>
      <c r="K1319" s="27"/>
      <c r="L1319" s="27"/>
      <c r="M1319" s="27"/>
      <c r="N1319" s="28">
        <f>1700</f>
        <v>1700</v>
      </c>
      <c r="O1319" s="28"/>
      <c r="P1319" s="28"/>
      <c r="Q1319" s="27" t="s">
        <v>2032</v>
      </c>
      <c r="R1319" s="27"/>
      <c r="S1319" s="29" t="s">
        <v>2032</v>
      </c>
      <c r="T1319" s="29"/>
      <c r="U1319" s="29"/>
      <c r="V1319" s="29"/>
      <c r="W1319" s="30" t="s">
        <v>2032</v>
      </c>
      <c r="X1319" s="29" t="s">
        <v>2032</v>
      </c>
      <c r="Y1319" s="29"/>
      <c r="Z1319" s="29"/>
      <c r="AA1319" s="29"/>
      <c r="AB1319" s="27" t="s">
        <v>2085</v>
      </c>
      <c r="AC1319" s="27"/>
      <c r="AD1319" s="27"/>
      <c r="AE1319" s="31">
        <f>1700</f>
        <v>1700</v>
      </c>
      <c r="AF1319" s="31"/>
      <c r="AG1319" s="31"/>
    </row>
    <row r="1320" spans="1:33" s="1" customFormat="1" ht="18.75" customHeight="1">
      <c r="A1320" s="24" t="s">
        <v>117</v>
      </c>
      <c r="B1320" s="25" t="s">
        <v>118</v>
      </c>
      <c r="C1320" s="25"/>
      <c r="D1320" s="25"/>
      <c r="E1320" s="26" t="s">
        <v>119</v>
      </c>
      <c r="F1320" s="26"/>
      <c r="G1320" s="26"/>
      <c r="H1320" s="26"/>
      <c r="I1320" s="26"/>
      <c r="J1320" s="27" t="s">
        <v>2061</v>
      </c>
      <c r="K1320" s="27"/>
      <c r="L1320" s="27"/>
      <c r="M1320" s="27"/>
      <c r="N1320" s="28">
        <f>353.28</f>
        <v>353.28</v>
      </c>
      <c r="O1320" s="28"/>
      <c r="P1320" s="28"/>
      <c r="Q1320" s="27" t="s">
        <v>2032</v>
      </c>
      <c r="R1320" s="27"/>
      <c r="S1320" s="29" t="s">
        <v>2032</v>
      </c>
      <c r="T1320" s="29"/>
      <c r="U1320" s="29"/>
      <c r="V1320" s="29"/>
      <c r="W1320" s="30" t="s">
        <v>2032</v>
      </c>
      <c r="X1320" s="29" t="s">
        <v>2032</v>
      </c>
      <c r="Y1320" s="29"/>
      <c r="Z1320" s="29"/>
      <c r="AA1320" s="29"/>
      <c r="AB1320" s="27" t="s">
        <v>2061</v>
      </c>
      <c r="AC1320" s="27"/>
      <c r="AD1320" s="27"/>
      <c r="AE1320" s="31">
        <f>353.28</f>
        <v>353.28</v>
      </c>
      <c r="AF1320" s="31"/>
      <c r="AG1320" s="31"/>
    </row>
    <row r="1321" spans="1:33" s="1" customFormat="1" ht="18.75" customHeight="1">
      <c r="A1321" s="24" t="s">
        <v>120</v>
      </c>
      <c r="B1321" s="25" t="s">
        <v>264</v>
      </c>
      <c r="C1321" s="25"/>
      <c r="D1321" s="25"/>
      <c r="E1321" s="26" t="s">
        <v>121</v>
      </c>
      <c r="F1321" s="26"/>
      <c r="G1321" s="26"/>
      <c r="H1321" s="26"/>
      <c r="I1321" s="26"/>
      <c r="J1321" s="27" t="s">
        <v>2056</v>
      </c>
      <c r="K1321" s="27"/>
      <c r="L1321" s="27"/>
      <c r="M1321" s="27"/>
      <c r="N1321" s="28">
        <f>196</f>
        <v>196</v>
      </c>
      <c r="O1321" s="28"/>
      <c r="P1321" s="28"/>
      <c r="Q1321" s="27" t="s">
        <v>2032</v>
      </c>
      <c r="R1321" s="27"/>
      <c r="S1321" s="29" t="s">
        <v>2032</v>
      </c>
      <c r="T1321" s="29"/>
      <c r="U1321" s="29"/>
      <c r="V1321" s="29"/>
      <c r="W1321" s="30" t="s">
        <v>2032</v>
      </c>
      <c r="X1321" s="29" t="s">
        <v>2032</v>
      </c>
      <c r="Y1321" s="29"/>
      <c r="Z1321" s="29"/>
      <c r="AA1321" s="29"/>
      <c r="AB1321" s="27" t="s">
        <v>2056</v>
      </c>
      <c r="AC1321" s="27"/>
      <c r="AD1321" s="27"/>
      <c r="AE1321" s="31">
        <f>196</f>
        <v>196</v>
      </c>
      <c r="AF1321" s="31"/>
      <c r="AG1321" s="31"/>
    </row>
    <row r="1322" spans="1:33" s="1" customFormat="1" ht="18.75" customHeight="1">
      <c r="A1322" s="24" t="s">
        <v>122</v>
      </c>
      <c r="B1322" s="25" t="s">
        <v>123</v>
      </c>
      <c r="C1322" s="25"/>
      <c r="D1322" s="25"/>
      <c r="E1322" s="26" t="s">
        <v>124</v>
      </c>
      <c r="F1322" s="26"/>
      <c r="G1322" s="26"/>
      <c r="H1322" s="26"/>
      <c r="I1322" s="26"/>
      <c r="J1322" s="27" t="s">
        <v>2056</v>
      </c>
      <c r="K1322" s="27"/>
      <c r="L1322" s="27"/>
      <c r="M1322" s="27"/>
      <c r="N1322" s="28">
        <f>387</f>
        <v>387</v>
      </c>
      <c r="O1322" s="28"/>
      <c r="P1322" s="28"/>
      <c r="Q1322" s="27" t="s">
        <v>2032</v>
      </c>
      <c r="R1322" s="27"/>
      <c r="S1322" s="29" t="s">
        <v>2032</v>
      </c>
      <c r="T1322" s="29"/>
      <c r="U1322" s="29"/>
      <c r="V1322" s="29"/>
      <c r="W1322" s="30" t="s">
        <v>2032</v>
      </c>
      <c r="X1322" s="29" t="s">
        <v>2032</v>
      </c>
      <c r="Y1322" s="29"/>
      <c r="Z1322" s="29"/>
      <c r="AA1322" s="29"/>
      <c r="AB1322" s="27" t="s">
        <v>2056</v>
      </c>
      <c r="AC1322" s="27"/>
      <c r="AD1322" s="27"/>
      <c r="AE1322" s="31">
        <f>387</f>
        <v>387</v>
      </c>
      <c r="AF1322" s="31"/>
      <c r="AG1322" s="31"/>
    </row>
    <row r="1323" spans="1:33" s="1" customFormat="1" ht="18.75" customHeight="1">
      <c r="A1323" s="24" t="s">
        <v>125</v>
      </c>
      <c r="B1323" s="25" t="s">
        <v>1493</v>
      </c>
      <c r="C1323" s="25"/>
      <c r="D1323" s="25"/>
      <c r="E1323" s="26" t="s">
        <v>126</v>
      </c>
      <c r="F1323" s="26"/>
      <c r="G1323" s="26"/>
      <c r="H1323" s="26"/>
      <c r="I1323" s="26"/>
      <c r="J1323" s="27" t="s">
        <v>2059</v>
      </c>
      <c r="K1323" s="27"/>
      <c r="L1323" s="27"/>
      <c r="M1323" s="27"/>
      <c r="N1323" s="28">
        <f>400</f>
        <v>400</v>
      </c>
      <c r="O1323" s="28"/>
      <c r="P1323" s="28"/>
      <c r="Q1323" s="27" t="s">
        <v>2032</v>
      </c>
      <c r="R1323" s="27"/>
      <c r="S1323" s="29" t="s">
        <v>2032</v>
      </c>
      <c r="T1323" s="29"/>
      <c r="U1323" s="29"/>
      <c r="V1323" s="29"/>
      <c r="W1323" s="30" t="s">
        <v>2032</v>
      </c>
      <c r="X1323" s="29" t="s">
        <v>2032</v>
      </c>
      <c r="Y1323" s="29"/>
      <c r="Z1323" s="29"/>
      <c r="AA1323" s="29"/>
      <c r="AB1323" s="27" t="s">
        <v>2059</v>
      </c>
      <c r="AC1323" s="27"/>
      <c r="AD1323" s="27"/>
      <c r="AE1323" s="31">
        <f>400</f>
        <v>400</v>
      </c>
      <c r="AF1323" s="31"/>
      <c r="AG1323" s="31"/>
    </row>
    <row r="1324" spans="1:33" s="1" customFormat="1" ht="33" customHeight="1">
      <c r="A1324" s="24" t="s">
        <v>127</v>
      </c>
      <c r="B1324" s="25" t="s">
        <v>128</v>
      </c>
      <c r="C1324" s="25"/>
      <c r="D1324" s="25"/>
      <c r="E1324" s="26" t="s">
        <v>129</v>
      </c>
      <c r="F1324" s="26"/>
      <c r="G1324" s="26"/>
      <c r="H1324" s="26"/>
      <c r="I1324" s="26"/>
      <c r="J1324" s="27" t="s">
        <v>2057</v>
      </c>
      <c r="K1324" s="27"/>
      <c r="L1324" s="27"/>
      <c r="M1324" s="27"/>
      <c r="N1324" s="28">
        <f>2808</f>
        <v>2808</v>
      </c>
      <c r="O1324" s="28"/>
      <c r="P1324" s="28"/>
      <c r="Q1324" s="27" t="s">
        <v>2032</v>
      </c>
      <c r="R1324" s="27"/>
      <c r="S1324" s="29" t="s">
        <v>2032</v>
      </c>
      <c r="T1324" s="29"/>
      <c r="U1324" s="29"/>
      <c r="V1324" s="29"/>
      <c r="W1324" s="30" t="s">
        <v>2032</v>
      </c>
      <c r="X1324" s="29" t="s">
        <v>2032</v>
      </c>
      <c r="Y1324" s="29"/>
      <c r="Z1324" s="29"/>
      <c r="AA1324" s="29"/>
      <c r="AB1324" s="27" t="s">
        <v>2057</v>
      </c>
      <c r="AC1324" s="27"/>
      <c r="AD1324" s="27"/>
      <c r="AE1324" s="31">
        <f>2808</f>
        <v>2808</v>
      </c>
      <c r="AF1324" s="31"/>
      <c r="AG1324" s="31"/>
    </row>
    <row r="1325" spans="1:33" s="1" customFormat="1" ht="46.5" customHeight="1">
      <c r="A1325" s="24" t="s">
        <v>130</v>
      </c>
      <c r="B1325" s="25" t="s">
        <v>131</v>
      </c>
      <c r="C1325" s="25"/>
      <c r="D1325" s="25"/>
      <c r="E1325" s="26" t="s">
        <v>132</v>
      </c>
      <c r="F1325" s="26"/>
      <c r="G1325" s="26"/>
      <c r="H1325" s="26"/>
      <c r="I1325" s="26"/>
      <c r="J1325" s="27" t="s">
        <v>2059</v>
      </c>
      <c r="K1325" s="27"/>
      <c r="L1325" s="27"/>
      <c r="M1325" s="27"/>
      <c r="N1325" s="28">
        <f>10516</f>
        <v>10516</v>
      </c>
      <c r="O1325" s="28"/>
      <c r="P1325" s="28"/>
      <c r="Q1325" s="27" t="s">
        <v>2032</v>
      </c>
      <c r="R1325" s="27"/>
      <c r="S1325" s="29" t="s">
        <v>2032</v>
      </c>
      <c r="T1325" s="29"/>
      <c r="U1325" s="29"/>
      <c r="V1325" s="29"/>
      <c r="W1325" s="30" t="s">
        <v>2032</v>
      </c>
      <c r="X1325" s="29" t="s">
        <v>2032</v>
      </c>
      <c r="Y1325" s="29"/>
      <c r="Z1325" s="29"/>
      <c r="AA1325" s="29"/>
      <c r="AB1325" s="27" t="s">
        <v>2059</v>
      </c>
      <c r="AC1325" s="27"/>
      <c r="AD1325" s="27"/>
      <c r="AE1325" s="31">
        <f>10516</f>
        <v>10516</v>
      </c>
      <c r="AF1325" s="31"/>
      <c r="AG1325" s="31"/>
    </row>
    <row r="1326" spans="1:33" s="1" customFormat="1" ht="18.75" customHeight="1">
      <c r="A1326" s="24" t="s">
        <v>133</v>
      </c>
      <c r="B1326" s="25" t="s">
        <v>134</v>
      </c>
      <c r="C1326" s="25"/>
      <c r="D1326" s="25"/>
      <c r="E1326" s="26" t="s">
        <v>135</v>
      </c>
      <c r="F1326" s="26"/>
      <c r="G1326" s="26"/>
      <c r="H1326" s="26"/>
      <c r="I1326" s="26"/>
      <c r="J1326" s="27" t="s">
        <v>2056</v>
      </c>
      <c r="K1326" s="27"/>
      <c r="L1326" s="27"/>
      <c r="M1326" s="27"/>
      <c r="N1326" s="28">
        <f>292.25</f>
        <v>292.25</v>
      </c>
      <c r="O1326" s="28"/>
      <c r="P1326" s="28"/>
      <c r="Q1326" s="27" t="s">
        <v>2032</v>
      </c>
      <c r="R1326" s="27"/>
      <c r="S1326" s="29" t="s">
        <v>2032</v>
      </c>
      <c r="T1326" s="29"/>
      <c r="U1326" s="29"/>
      <c r="V1326" s="29"/>
      <c r="W1326" s="30" t="s">
        <v>2032</v>
      </c>
      <c r="X1326" s="29" t="s">
        <v>2032</v>
      </c>
      <c r="Y1326" s="29"/>
      <c r="Z1326" s="29"/>
      <c r="AA1326" s="29"/>
      <c r="AB1326" s="27" t="s">
        <v>2056</v>
      </c>
      <c r="AC1326" s="27"/>
      <c r="AD1326" s="27"/>
      <c r="AE1326" s="31">
        <f>292.25</f>
        <v>292.25</v>
      </c>
      <c r="AF1326" s="31"/>
      <c r="AG1326" s="31"/>
    </row>
    <row r="1327" spans="1:33" s="1" customFormat="1" ht="33" customHeight="1">
      <c r="A1327" s="24" t="s">
        <v>136</v>
      </c>
      <c r="B1327" s="25" t="s">
        <v>137</v>
      </c>
      <c r="C1327" s="25"/>
      <c r="D1327" s="25"/>
      <c r="E1327" s="26" t="s">
        <v>138</v>
      </c>
      <c r="F1327" s="26"/>
      <c r="G1327" s="26"/>
      <c r="H1327" s="26"/>
      <c r="I1327" s="26"/>
      <c r="J1327" s="27" t="s">
        <v>2058</v>
      </c>
      <c r="K1327" s="27"/>
      <c r="L1327" s="27"/>
      <c r="M1327" s="27"/>
      <c r="N1327" s="28">
        <f>3840</f>
        <v>3840</v>
      </c>
      <c r="O1327" s="28"/>
      <c r="P1327" s="28"/>
      <c r="Q1327" s="27" t="s">
        <v>2032</v>
      </c>
      <c r="R1327" s="27"/>
      <c r="S1327" s="29" t="s">
        <v>2032</v>
      </c>
      <c r="T1327" s="29"/>
      <c r="U1327" s="29"/>
      <c r="V1327" s="29"/>
      <c r="W1327" s="30" t="s">
        <v>2032</v>
      </c>
      <c r="X1327" s="29" t="s">
        <v>2032</v>
      </c>
      <c r="Y1327" s="29"/>
      <c r="Z1327" s="29"/>
      <c r="AA1327" s="29"/>
      <c r="AB1327" s="27" t="s">
        <v>2058</v>
      </c>
      <c r="AC1327" s="27"/>
      <c r="AD1327" s="27"/>
      <c r="AE1327" s="31">
        <f>3840</f>
        <v>3840</v>
      </c>
      <c r="AF1327" s="31"/>
      <c r="AG1327" s="31"/>
    </row>
    <row r="1328" spans="1:33" s="1" customFormat="1" ht="33" customHeight="1">
      <c r="A1328" s="24" t="s">
        <v>139</v>
      </c>
      <c r="B1328" s="25" t="s">
        <v>140</v>
      </c>
      <c r="C1328" s="25"/>
      <c r="D1328" s="25"/>
      <c r="E1328" s="26" t="s">
        <v>141</v>
      </c>
      <c r="F1328" s="26"/>
      <c r="G1328" s="26"/>
      <c r="H1328" s="26"/>
      <c r="I1328" s="26"/>
      <c r="J1328" s="27" t="s">
        <v>2056</v>
      </c>
      <c r="K1328" s="27"/>
      <c r="L1328" s="27"/>
      <c r="M1328" s="27"/>
      <c r="N1328" s="28">
        <f>325</f>
        <v>325</v>
      </c>
      <c r="O1328" s="28"/>
      <c r="P1328" s="28"/>
      <c r="Q1328" s="27" t="s">
        <v>2032</v>
      </c>
      <c r="R1328" s="27"/>
      <c r="S1328" s="29" t="s">
        <v>2032</v>
      </c>
      <c r="T1328" s="29"/>
      <c r="U1328" s="29"/>
      <c r="V1328" s="29"/>
      <c r="W1328" s="30" t="s">
        <v>2032</v>
      </c>
      <c r="X1328" s="29" t="s">
        <v>2032</v>
      </c>
      <c r="Y1328" s="29"/>
      <c r="Z1328" s="29"/>
      <c r="AA1328" s="29"/>
      <c r="AB1328" s="27" t="s">
        <v>2056</v>
      </c>
      <c r="AC1328" s="27"/>
      <c r="AD1328" s="27"/>
      <c r="AE1328" s="31">
        <f>325</f>
        <v>325</v>
      </c>
      <c r="AF1328" s="31"/>
      <c r="AG1328" s="31"/>
    </row>
    <row r="1329" spans="1:33" s="1" customFormat="1" ht="33" customHeight="1">
      <c r="A1329" s="24" t="s">
        <v>142</v>
      </c>
      <c r="B1329" s="25" t="s">
        <v>143</v>
      </c>
      <c r="C1329" s="25"/>
      <c r="D1329" s="25"/>
      <c r="E1329" s="26" t="s">
        <v>144</v>
      </c>
      <c r="F1329" s="26"/>
      <c r="G1329" s="26"/>
      <c r="H1329" s="26"/>
      <c r="I1329" s="26"/>
      <c r="J1329" s="27" t="s">
        <v>2056</v>
      </c>
      <c r="K1329" s="27"/>
      <c r="L1329" s="27"/>
      <c r="M1329" s="27"/>
      <c r="N1329" s="28">
        <f>108.91</f>
        <v>108.91</v>
      </c>
      <c r="O1329" s="28"/>
      <c r="P1329" s="28"/>
      <c r="Q1329" s="27" t="s">
        <v>2032</v>
      </c>
      <c r="R1329" s="27"/>
      <c r="S1329" s="29" t="s">
        <v>2032</v>
      </c>
      <c r="T1329" s="29"/>
      <c r="U1329" s="29"/>
      <c r="V1329" s="29"/>
      <c r="W1329" s="30" t="s">
        <v>2032</v>
      </c>
      <c r="X1329" s="29" t="s">
        <v>2032</v>
      </c>
      <c r="Y1329" s="29"/>
      <c r="Z1329" s="29"/>
      <c r="AA1329" s="29"/>
      <c r="AB1329" s="27" t="s">
        <v>2056</v>
      </c>
      <c r="AC1329" s="27"/>
      <c r="AD1329" s="27"/>
      <c r="AE1329" s="31">
        <f>108.91</f>
        <v>108.91</v>
      </c>
      <c r="AF1329" s="31"/>
      <c r="AG1329" s="31"/>
    </row>
    <row r="1330" spans="1:33" s="1" customFormat="1" ht="33" customHeight="1">
      <c r="A1330" s="24" t="s">
        <v>145</v>
      </c>
      <c r="B1330" s="25" t="s">
        <v>146</v>
      </c>
      <c r="C1330" s="25"/>
      <c r="D1330" s="25"/>
      <c r="E1330" s="26" t="s">
        <v>147</v>
      </c>
      <c r="F1330" s="26"/>
      <c r="G1330" s="26"/>
      <c r="H1330" s="26"/>
      <c r="I1330" s="26"/>
      <c r="J1330" s="27" t="s">
        <v>2056</v>
      </c>
      <c r="K1330" s="27"/>
      <c r="L1330" s="27"/>
      <c r="M1330" s="27"/>
      <c r="N1330" s="28">
        <f>108.91</f>
        <v>108.91</v>
      </c>
      <c r="O1330" s="28"/>
      <c r="P1330" s="28"/>
      <c r="Q1330" s="27" t="s">
        <v>2032</v>
      </c>
      <c r="R1330" s="27"/>
      <c r="S1330" s="29" t="s">
        <v>2032</v>
      </c>
      <c r="T1330" s="29"/>
      <c r="U1330" s="29"/>
      <c r="V1330" s="29"/>
      <c r="W1330" s="30" t="s">
        <v>2032</v>
      </c>
      <c r="X1330" s="29" t="s">
        <v>2032</v>
      </c>
      <c r="Y1330" s="29"/>
      <c r="Z1330" s="29"/>
      <c r="AA1330" s="29"/>
      <c r="AB1330" s="27" t="s">
        <v>2056</v>
      </c>
      <c r="AC1330" s="27"/>
      <c r="AD1330" s="27"/>
      <c r="AE1330" s="31">
        <f>108.91</f>
        <v>108.91</v>
      </c>
      <c r="AF1330" s="31"/>
      <c r="AG1330" s="31"/>
    </row>
    <row r="1331" spans="1:33" s="1" customFormat="1" ht="18.75" customHeight="1">
      <c r="A1331" s="24" t="s">
        <v>148</v>
      </c>
      <c r="B1331" s="25" t="s">
        <v>149</v>
      </c>
      <c r="C1331" s="25"/>
      <c r="D1331" s="25"/>
      <c r="E1331" s="26" t="s">
        <v>150</v>
      </c>
      <c r="F1331" s="26"/>
      <c r="G1331" s="26"/>
      <c r="H1331" s="26"/>
      <c r="I1331" s="26"/>
      <c r="J1331" s="27" t="s">
        <v>2060</v>
      </c>
      <c r="K1331" s="27"/>
      <c r="L1331" s="27"/>
      <c r="M1331" s="27"/>
      <c r="N1331" s="28">
        <f>365.3</f>
        <v>365.3</v>
      </c>
      <c r="O1331" s="28"/>
      <c r="P1331" s="28"/>
      <c r="Q1331" s="27" t="s">
        <v>2032</v>
      </c>
      <c r="R1331" s="27"/>
      <c r="S1331" s="29" t="s">
        <v>2032</v>
      </c>
      <c r="T1331" s="29"/>
      <c r="U1331" s="29"/>
      <c r="V1331" s="29"/>
      <c r="W1331" s="30" t="s">
        <v>2032</v>
      </c>
      <c r="X1331" s="29" t="s">
        <v>2032</v>
      </c>
      <c r="Y1331" s="29"/>
      <c r="Z1331" s="29"/>
      <c r="AA1331" s="29"/>
      <c r="AB1331" s="27" t="s">
        <v>2060</v>
      </c>
      <c r="AC1331" s="27"/>
      <c r="AD1331" s="27"/>
      <c r="AE1331" s="31">
        <f>365.3</f>
        <v>365.3</v>
      </c>
      <c r="AF1331" s="31"/>
      <c r="AG1331" s="31"/>
    </row>
    <row r="1332" spans="1:33" s="1" customFormat="1" ht="18.75" customHeight="1">
      <c r="A1332" s="24" t="s">
        <v>151</v>
      </c>
      <c r="B1332" s="25" t="s">
        <v>152</v>
      </c>
      <c r="C1332" s="25"/>
      <c r="D1332" s="25"/>
      <c r="E1332" s="26" t="s">
        <v>153</v>
      </c>
      <c r="F1332" s="26"/>
      <c r="G1332" s="26"/>
      <c r="H1332" s="26"/>
      <c r="I1332" s="26"/>
      <c r="J1332" s="27" t="s">
        <v>2056</v>
      </c>
      <c r="K1332" s="27"/>
      <c r="L1332" s="27"/>
      <c r="M1332" s="27"/>
      <c r="N1332" s="28">
        <f>1752.6</f>
        <v>1752.6</v>
      </c>
      <c r="O1332" s="28"/>
      <c r="P1332" s="28"/>
      <c r="Q1332" s="27" t="s">
        <v>2032</v>
      </c>
      <c r="R1332" s="27"/>
      <c r="S1332" s="29" t="s">
        <v>2032</v>
      </c>
      <c r="T1332" s="29"/>
      <c r="U1332" s="29"/>
      <c r="V1332" s="29"/>
      <c r="W1332" s="30" t="s">
        <v>2032</v>
      </c>
      <c r="X1332" s="29" t="s">
        <v>2032</v>
      </c>
      <c r="Y1332" s="29"/>
      <c r="Z1332" s="29"/>
      <c r="AA1332" s="29"/>
      <c r="AB1332" s="27" t="s">
        <v>2056</v>
      </c>
      <c r="AC1332" s="27"/>
      <c r="AD1332" s="27"/>
      <c r="AE1332" s="31">
        <f>1752.6</f>
        <v>1752.6</v>
      </c>
      <c r="AF1332" s="31"/>
      <c r="AG1332" s="31"/>
    </row>
    <row r="1333" spans="1:33" s="1" customFormat="1" ht="18.75" customHeight="1">
      <c r="A1333" s="24" t="s">
        <v>154</v>
      </c>
      <c r="B1333" s="25" t="s">
        <v>155</v>
      </c>
      <c r="C1333" s="25"/>
      <c r="D1333" s="25"/>
      <c r="E1333" s="26" t="s">
        <v>156</v>
      </c>
      <c r="F1333" s="26"/>
      <c r="G1333" s="26"/>
      <c r="H1333" s="26"/>
      <c r="I1333" s="26"/>
      <c r="J1333" s="27" t="s">
        <v>2056</v>
      </c>
      <c r="K1333" s="27"/>
      <c r="L1333" s="27"/>
      <c r="M1333" s="27"/>
      <c r="N1333" s="28">
        <f>313.45</f>
        <v>313.45</v>
      </c>
      <c r="O1333" s="28"/>
      <c r="P1333" s="28"/>
      <c r="Q1333" s="27" t="s">
        <v>2032</v>
      </c>
      <c r="R1333" s="27"/>
      <c r="S1333" s="29" t="s">
        <v>2032</v>
      </c>
      <c r="T1333" s="29"/>
      <c r="U1333" s="29"/>
      <c r="V1333" s="29"/>
      <c r="W1333" s="30" t="s">
        <v>2032</v>
      </c>
      <c r="X1333" s="29" t="s">
        <v>2032</v>
      </c>
      <c r="Y1333" s="29"/>
      <c r="Z1333" s="29"/>
      <c r="AA1333" s="29"/>
      <c r="AB1333" s="27" t="s">
        <v>2056</v>
      </c>
      <c r="AC1333" s="27"/>
      <c r="AD1333" s="27"/>
      <c r="AE1333" s="31">
        <f>313.45</f>
        <v>313.45</v>
      </c>
      <c r="AF1333" s="31"/>
      <c r="AG1333" s="31"/>
    </row>
    <row r="1334" spans="1:33" s="1" customFormat="1" ht="18.75" customHeight="1">
      <c r="A1334" s="24" t="s">
        <v>157</v>
      </c>
      <c r="B1334" s="25" t="s">
        <v>158</v>
      </c>
      <c r="C1334" s="25"/>
      <c r="D1334" s="25"/>
      <c r="E1334" s="26" t="s">
        <v>159</v>
      </c>
      <c r="F1334" s="26"/>
      <c r="G1334" s="26"/>
      <c r="H1334" s="26"/>
      <c r="I1334" s="26"/>
      <c r="J1334" s="27" t="s">
        <v>2056</v>
      </c>
      <c r="K1334" s="27"/>
      <c r="L1334" s="27"/>
      <c r="M1334" s="27"/>
      <c r="N1334" s="28">
        <f>207</f>
        <v>207</v>
      </c>
      <c r="O1334" s="28"/>
      <c r="P1334" s="28"/>
      <c r="Q1334" s="27" t="s">
        <v>2032</v>
      </c>
      <c r="R1334" s="27"/>
      <c r="S1334" s="29" t="s">
        <v>2032</v>
      </c>
      <c r="T1334" s="29"/>
      <c r="U1334" s="29"/>
      <c r="V1334" s="29"/>
      <c r="W1334" s="30" t="s">
        <v>2032</v>
      </c>
      <c r="X1334" s="29" t="s">
        <v>2032</v>
      </c>
      <c r="Y1334" s="29"/>
      <c r="Z1334" s="29"/>
      <c r="AA1334" s="29"/>
      <c r="AB1334" s="27" t="s">
        <v>2056</v>
      </c>
      <c r="AC1334" s="27"/>
      <c r="AD1334" s="27"/>
      <c r="AE1334" s="31">
        <f>207</f>
        <v>207</v>
      </c>
      <c r="AF1334" s="31"/>
      <c r="AG1334" s="31"/>
    </row>
    <row r="1335" spans="1:33" s="1" customFormat="1" ht="18.75" customHeight="1">
      <c r="A1335" s="24" t="s">
        <v>160</v>
      </c>
      <c r="B1335" s="25" t="s">
        <v>161</v>
      </c>
      <c r="C1335" s="25"/>
      <c r="D1335" s="25"/>
      <c r="E1335" s="26" t="s">
        <v>162</v>
      </c>
      <c r="F1335" s="26"/>
      <c r="G1335" s="26"/>
      <c r="H1335" s="26"/>
      <c r="I1335" s="26"/>
      <c r="J1335" s="27" t="s">
        <v>2056</v>
      </c>
      <c r="K1335" s="27"/>
      <c r="L1335" s="27"/>
      <c r="M1335" s="27"/>
      <c r="N1335" s="28">
        <f>2696.1</f>
        <v>2696.1</v>
      </c>
      <c r="O1335" s="28"/>
      <c r="P1335" s="28"/>
      <c r="Q1335" s="27" t="s">
        <v>2032</v>
      </c>
      <c r="R1335" s="27"/>
      <c r="S1335" s="29" t="s">
        <v>2032</v>
      </c>
      <c r="T1335" s="29"/>
      <c r="U1335" s="29"/>
      <c r="V1335" s="29"/>
      <c r="W1335" s="30" t="s">
        <v>2032</v>
      </c>
      <c r="X1335" s="29" t="s">
        <v>2032</v>
      </c>
      <c r="Y1335" s="29"/>
      <c r="Z1335" s="29"/>
      <c r="AA1335" s="29"/>
      <c r="AB1335" s="27" t="s">
        <v>2056</v>
      </c>
      <c r="AC1335" s="27"/>
      <c r="AD1335" s="27"/>
      <c r="AE1335" s="31">
        <f>2696.1</f>
        <v>2696.1</v>
      </c>
      <c r="AF1335" s="31"/>
      <c r="AG1335" s="31"/>
    </row>
    <row r="1336" spans="1:33" s="1" customFormat="1" ht="18.75" customHeight="1">
      <c r="A1336" s="24" t="s">
        <v>163</v>
      </c>
      <c r="B1336" s="25" t="s">
        <v>164</v>
      </c>
      <c r="C1336" s="25"/>
      <c r="D1336" s="25"/>
      <c r="E1336" s="26" t="s">
        <v>165</v>
      </c>
      <c r="F1336" s="26"/>
      <c r="G1336" s="26"/>
      <c r="H1336" s="26"/>
      <c r="I1336" s="26"/>
      <c r="J1336" s="27" t="s">
        <v>2056</v>
      </c>
      <c r="K1336" s="27"/>
      <c r="L1336" s="27"/>
      <c r="M1336" s="27"/>
      <c r="N1336" s="28">
        <f>2453.64</f>
        <v>2453.64</v>
      </c>
      <c r="O1336" s="28"/>
      <c r="P1336" s="28"/>
      <c r="Q1336" s="27" t="s">
        <v>2032</v>
      </c>
      <c r="R1336" s="27"/>
      <c r="S1336" s="29" t="s">
        <v>2032</v>
      </c>
      <c r="T1336" s="29"/>
      <c r="U1336" s="29"/>
      <c r="V1336" s="29"/>
      <c r="W1336" s="30" t="s">
        <v>2032</v>
      </c>
      <c r="X1336" s="29" t="s">
        <v>2032</v>
      </c>
      <c r="Y1336" s="29"/>
      <c r="Z1336" s="29"/>
      <c r="AA1336" s="29"/>
      <c r="AB1336" s="27" t="s">
        <v>2056</v>
      </c>
      <c r="AC1336" s="27"/>
      <c r="AD1336" s="27"/>
      <c r="AE1336" s="31">
        <f>2453.64</f>
        <v>2453.64</v>
      </c>
      <c r="AF1336" s="31"/>
      <c r="AG1336" s="31"/>
    </row>
    <row r="1337" spans="1:33" s="1" customFormat="1" ht="18.75" customHeight="1">
      <c r="A1337" s="24" t="s">
        <v>166</v>
      </c>
      <c r="B1337" s="25" t="s">
        <v>167</v>
      </c>
      <c r="C1337" s="25"/>
      <c r="D1337" s="25"/>
      <c r="E1337" s="26" t="s">
        <v>168</v>
      </c>
      <c r="F1337" s="26"/>
      <c r="G1337" s="26"/>
      <c r="H1337" s="26"/>
      <c r="I1337" s="26"/>
      <c r="J1337" s="27" t="s">
        <v>2056</v>
      </c>
      <c r="K1337" s="27"/>
      <c r="L1337" s="27"/>
      <c r="M1337" s="27"/>
      <c r="N1337" s="28">
        <f>345.02</f>
        <v>345.02</v>
      </c>
      <c r="O1337" s="28"/>
      <c r="P1337" s="28"/>
      <c r="Q1337" s="27" t="s">
        <v>2032</v>
      </c>
      <c r="R1337" s="27"/>
      <c r="S1337" s="29" t="s">
        <v>2032</v>
      </c>
      <c r="T1337" s="29"/>
      <c r="U1337" s="29"/>
      <c r="V1337" s="29"/>
      <c r="W1337" s="30" t="s">
        <v>2032</v>
      </c>
      <c r="X1337" s="29" t="s">
        <v>2032</v>
      </c>
      <c r="Y1337" s="29"/>
      <c r="Z1337" s="29"/>
      <c r="AA1337" s="29"/>
      <c r="AB1337" s="27" t="s">
        <v>2056</v>
      </c>
      <c r="AC1337" s="27"/>
      <c r="AD1337" s="27"/>
      <c r="AE1337" s="31">
        <f>345.02</f>
        <v>345.02</v>
      </c>
      <c r="AF1337" s="31"/>
      <c r="AG1337" s="31"/>
    </row>
    <row r="1338" spans="1:33" s="1" customFormat="1" ht="46.5" customHeight="1">
      <c r="A1338" s="24" t="s">
        <v>169</v>
      </c>
      <c r="B1338" s="25" t="s">
        <v>170</v>
      </c>
      <c r="C1338" s="25"/>
      <c r="D1338" s="25"/>
      <c r="E1338" s="26" t="s">
        <v>171</v>
      </c>
      <c r="F1338" s="26"/>
      <c r="G1338" s="26"/>
      <c r="H1338" s="26"/>
      <c r="I1338" s="26"/>
      <c r="J1338" s="27" t="s">
        <v>2056</v>
      </c>
      <c r="K1338" s="27"/>
      <c r="L1338" s="27"/>
      <c r="M1338" s="27"/>
      <c r="N1338" s="28">
        <f>2500</f>
        <v>2500</v>
      </c>
      <c r="O1338" s="28"/>
      <c r="P1338" s="28"/>
      <c r="Q1338" s="27" t="s">
        <v>2032</v>
      </c>
      <c r="R1338" s="27"/>
      <c r="S1338" s="29" t="s">
        <v>2032</v>
      </c>
      <c r="T1338" s="29"/>
      <c r="U1338" s="29"/>
      <c r="V1338" s="29"/>
      <c r="W1338" s="30" t="s">
        <v>2032</v>
      </c>
      <c r="X1338" s="29" t="s">
        <v>2032</v>
      </c>
      <c r="Y1338" s="29"/>
      <c r="Z1338" s="29"/>
      <c r="AA1338" s="29"/>
      <c r="AB1338" s="27" t="s">
        <v>2056</v>
      </c>
      <c r="AC1338" s="27"/>
      <c r="AD1338" s="27"/>
      <c r="AE1338" s="31">
        <f>2500</f>
        <v>2500</v>
      </c>
      <c r="AF1338" s="31"/>
      <c r="AG1338" s="31"/>
    </row>
    <row r="1339" spans="1:33" s="1" customFormat="1" ht="33" customHeight="1">
      <c r="A1339" s="24" t="s">
        <v>172</v>
      </c>
      <c r="B1339" s="25" t="s">
        <v>173</v>
      </c>
      <c r="C1339" s="25"/>
      <c r="D1339" s="25"/>
      <c r="E1339" s="26" t="s">
        <v>174</v>
      </c>
      <c r="F1339" s="26"/>
      <c r="G1339" s="26"/>
      <c r="H1339" s="26"/>
      <c r="I1339" s="26"/>
      <c r="J1339" s="27" t="s">
        <v>2056</v>
      </c>
      <c r="K1339" s="27"/>
      <c r="L1339" s="27"/>
      <c r="M1339" s="27"/>
      <c r="N1339" s="28">
        <f>2350</f>
        <v>2350</v>
      </c>
      <c r="O1339" s="28"/>
      <c r="P1339" s="28"/>
      <c r="Q1339" s="27" t="s">
        <v>2032</v>
      </c>
      <c r="R1339" s="27"/>
      <c r="S1339" s="29" t="s">
        <v>2032</v>
      </c>
      <c r="T1339" s="29"/>
      <c r="U1339" s="29"/>
      <c r="V1339" s="29"/>
      <c r="W1339" s="30" t="s">
        <v>2032</v>
      </c>
      <c r="X1339" s="29" t="s">
        <v>2032</v>
      </c>
      <c r="Y1339" s="29"/>
      <c r="Z1339" s="29"/>
      <c r="AA1339" s="29"/>
      <c r="AB1339" s="27" t="s">
        <v>2056</v>
      </c>
      <c r="AC1339" s="27"/>
      <c r="AD1339" s="27"/>
      <c r="AE1339" s="31">
        <f>2350</f>
        <v>2350</v>
      </c>
      <c r="AF1339" s="31"/>
      <c r="AG1339" s="31"/>
    </row>
    <row r="1340" spans="1:33" s="1" customFormat="1" ht="33" customHeight="1">
      <c r="A1340" s="24" t="s">
        <v>175</v>
      </c>
      <c r="B1340" s="25" t="s">
        <v>176</v>
      </c>
      <c r="C1340" s="25"/>
      <c r="D1340" s="25"/>
      <c r="E1340" s="26" t="s">
        <v>174</v>
      </c>
      <c r="F1340" s="26"/>
      <c r="G1340" s="26"/>
      <c r="H1340" s="26"/>
      <c r="I1340" s="26"/>
      <c r="J1340" s="27" t="s">
        <v>2056</v>
      </c>
      <c r="K1340" s="27"/>
      <c r="L1340" s="27"/>
      <c r="M1340" s="27"/>
      <c r="N1340" s="28">
        <f>2350</f>
        <v>2350</v>
      </c>
      <c r="O1340" s="28"/>
      <c r="P1340" s="28"/>
      <c r="Q1340" s="27" t="s">
        <v>2032</v>
      </c>
      <c r="R1340" s="27"/>
      <c r="S1340" s="29" t="s">
        <v>2032</v>
      </c>
      <c r="T1340" s="29"/>
      <c r="U1340" s="29"/>
      <c r="V1340" s="29"/>
      <c r="W1340" s="30" t="s">
        <v>2032</v>
      </c>
      <c r="X1340" s="29" t="s">
        <v>2032</v>
      </c>
      <c r="Y1340" s="29"/>
      <c r="Z1340" s="29"/>
      <c r="AA1340" s="29"/>
      <c r="AB1340" s="27" t="s">
        <v>2056</v>
      </c>
      <c r="AC1340" s="27"/>
      <c r="AD1340" s="27"/>
      <c r="AE1340" s="31">
        <f>2350</f>
        <v>2350</v>
      </c>
      <c r="AF1340" s="31"/>
      <c r="AG1340" s="31"/>
    </row>
    <row r="1341" spans="1:33" s="1" customFormat="1" ht="18.75" customHeight="1">
      <c r="A1341" s="24" t="s">
        <v>177</v>
      </c>
      <c r="B1341" s="25" t="s">
        <v>178</v>
      </c>
      <c r="C1341" s="25"/>
      <c r="D1341" s="25"/>
      <c r="E1341" s="26" t="s">
        <v>179</v>
      </c>
      <c r="F1341" s="26"/>
      <c r="G1341" s="26"/>
      <c r="H1341" s="26"/>
      <c r="I1341" s="26"/>
      <c r="J1341" s="27" t="s">
        <v>2056</v>
      </c>
      <c r="K1341" s="27"/>
      <c r="L1341" s="27"/>
      <c r="M1341" s="27"/>
      <c r="N1341" s="28">
        <f>1836</f>
        <v>1836</v>
      </c>
      <c r="O1341" s="28"/>
      <c r="P1341" s="28"/>
      <c r="Q1341" s="27" t="s">
        <v>2032</v>
      </c>
      <c r="R1341" s="27"/>
      <c r="S1341" s="29" t="s">
        <v>2032</v>
      </c>
      <c r="T1341" s="29"/>
      <c r="U1341" s="29"/>
      <c r="V1341" s="29"/>
      <c r="W1341" s="30" t="s">
        <v>2032</v>
      </c>
      <c r="X1341" s="29" t="s">
        <v>2032</v>
      </c>
      <c r="Y1341" s="29"/>
      <c r="Z1341" s="29"/>
      <c r="AA1341" s="29"/>
      <c r="AB1341" s="27" t="s">
        <v>2056</v>
      </c>
      <c r="AC1341" s="27"/>
      <c r="AD1341" s="27"/>
      <c r="AE1341" s="31">
        <f>1836</f>
        <v>1836</v>
      </c>
      <c r="AF1341" s="31"/>
      <c r="AG1341" s="31"/>
    </row>
    <row r="1342" spans="1:33" s="1" customFormat="1" ht="18.75" customHeight="1">
      <c r="A1342" s="24" t="s">
        <v>180</v>
      </c>
      <c r="B1342" s="25" t="s">
        <v>181</v>
      </c>
      <c r="C1342" s="25"/>
      <c r="D1342" s="25"/>
      <c r="E1342" s="26" t="s">
        <v>182</v>
      </c>
      <c r="F1342" s="26"/>
      <c r="G1342" s="26"/>
      <c r="H1342" s="26"/>
      <c r="I1342" s="26"/>
      <c r="J1342" s="27" t="s">
        <v>2058</v>
      </c>
      <c r="K1342" s="27"/>
      <c r="L1342" s="27"/>
      <c r="M1342" s="27"/>
      <c r="N1342" s="28">
        <f>219.18</f>
        <v>219.18</v>
      </c>
      <c r="O1342" s="28"/>
      <c r="P1342" s="28"/>
      <c r="Q1342" s="27" t="s">
        <v>2032</v>
      </c>
      <c r="R1342" s="27"/>
      <c r="S1342" s="29" t="s">
        <v>2032</v>
      </c>
      <c r="T1342" s="29"/>
      <c r="U1342" s="29"/>
      <c r="V1342" s="29"/>
      <c r="W1342" s="30" t="s">
        <v>2032</v>
      </c>
      <c r="X1342" s="29" t="s">
        <v>2032</v>
      </c>
      <c r="Y1342" s="29"/>
      <c r="Z1342" s="29"/>
      <c r="AA1342" s="29"/>
      <c r="AB1342" s="27" t="s">
        <v>2058</v>
      </c>
      <c r="AC1342" s="27"/>
      <c r="AD1342" s="27"/>
      <c r="AE1342" s="31">
        <f>219.18</f>
        <v>219.18</v>
      </c>
      <c r="AF1342" s="31"/>
      <c r="AG1342" s="31"/>
    </row>
    <row r="1343" spans="1:33" s="1" customFormat="1" ht="33" customHeight="1">
      <c r="A1343" s="24" t="s">
        <v>183</v>
      </c>
      <c r="B1343" s="25" t="s">
        <v>184</v>
      </c>
      <c r="C1343" s="25"/>
      <c r="D1343" s="25"/>
      <c r="E1343" s="26" t="s">
        <v>185</v>
      </c>
      <c r="F1343" s="26"/>
      <c r="G1343" s="26"/>
      <c r="H1343" s="26"/>
      <c r="I1343" s="26"/>
      <c r="J1343" s="27" t="s">
        <v>2056</v>
      </c>
      <c r="K1343" s="27"/>
      <c r="L1343" s="27"/>
      <c r="M1343" s="27"/>
      <c r="N1343" s="28">
        <f>472</f>
        <v>472</v>
      </c>
      <c r="O1343" s="28"/>
      <c r="P1343" s="28"/>
      <c r="Q1343" s="27" t="s">
        <v>2032</v>
      </c>
      <c r="R1343" s="27"/>
      <c r="S1343" s="29" t="s">
        <v>2032</v>
      </c>
      <c r="T1343" s="29"/>
      <c r="U1343" s="29"/>
      <c r="V1343" s="29"/>
      <c r="W1343" s="30" t="s">
        <v>2032</v>
      </c>
      <c r="X1343" s="29" t="s">
        <v>2032</v>
      </c>
      <c r="Y1343" s="29"/>
      <c r="Z1343" s="29"/>
      <c r="AA1343" s="29"/>
      <c r="AB1343" s="27" t="s">
        <v>2056</v>
      </c>
      <c r="AC1343" s="27"/>
      <c r="AD1343" s="27"/>
      <c r="AE1343" s="31">
        <f>472</f>
        <v>472</v>
      </c>
      <c r="AF1343" s="31"/>
      <c r="AG1343" s="31"/>
    </row>
    <row r="1344" spans="1:33" s="1" customFormat="1" ht="18.75" customHeight="1">
      <c r="A1344" s="24" t="s">
        <v>186</v>
      </c>
      <c r="B1344" s="25" t="s">
        <v>187</v>
      </c>
      <c r="C1344" s="25"/>
      <c r="D1344" s="25"/>
      <c r="E1344" s="26" t="s">
        <v>188</v>
      </c>
      <c r="F1344" s="26"/>
      <c r="G1344" s="26"/>
      <c r="H1344" s="26"/>
      <c r="I1344" s="26"/>
      <c r="J1344" s="27" t="s">
        <v>2056</v>
      </c>
      <c r="K1344" s="27"/>
      <c r="L1344" s="27"/>
      <c r="M1344" s="27"/>
      <c r="N1344" s="28">
        <f>1950</f>
        <v>1950</v>
      </c>
      <c r="O1344" s="28"/>
      <c r="P1344" s="28"/>
      <c r="Q1344" s="27" t="s">
        <v>2032</v>
      </c>
      <c r="R1344" s="27"/>
      <c r="S1344" s="29" t="s">
        <v>2032</v>
      </c>
      <c r="T1344" s="29"/>
      <c r="U1344" s="29"/>
      <c r="V1344" s="29"/>
      <c r="W1344" s="30" t="s">
        <v>2032</v>
      </c>
      <c r="X1344" s="29" t="s">
        <v>2032</v>
      </c>
      <c r="Y1344" s="29"/>
      <c r="Z1344" s="29"/>
      <c r="AA1344" s="29"/>
      <c r="AB1344" s="27" t="s">
        <v>2056</v>
      </c>
      <c r="AC1344" s="27"/>
      <c r="AD1344" s="27"/>
      <c r="AE1344" s="31">
        <f>1950</f>
        <v>1950</v>
      </c>
      <c r="AF1344" s="31"/>
      <c r="AG1344" s="31"/>
    </row>
    <row r="1345" spans="1:33" s="1" customFormat="1" ht="33" customHeight="1">
      <c r="A1345" s="24" t="s">
        <v>189</v>
      </c>
      <c r="B1345" s="25" t="s">
        <v>190</v>
      </c>
      <c r="C1345" s="25"/>
      <c r="D1345" s="25"/>
      <c r="E1345" s="26" t="s">
        <v>191</v>
      </c>
      <c r="F1345" s="26"/>
      <c r="G1345" s="26"/>
      <c r="H1345" s="26"/>
      <c r="I1345" s="26"/>
      <c r="J1345" s="27" t="s">
        <v>2056</v>
      </c>
      <c r="K1345" s="27"/>
      <c r="L1345" s="27"/>
      <c r="M1345" s="27"/>
      <c r="N1345" s="28">
        <f>1950</f>
        <v>1950</v>
      </c>
      <c r="O1345" s="28"/>
      <c r="P1345" s="28"/>
      <c r="Q1345" s="27" t="s">
        <v>2032</v>
      </c>
      <c r="R1345" s="27"/>
      <c r="S1345" s="29" t="s">
        <v>2032</v>
      </c>
      <c r="T1345" s="29"/>
      <c r="U1345" s="29"/>
      <c r="V1345" s="29"/>
      <c r="W1345" s="30" t="s">
        <v>2032</v>
      </c>
      <c r="X1345" s="29" t="s">
        <v>2032</v>
      </c>
      <c r="Y1345" s="29"/>
      <c r="Z1345" s="29"/>
      <c r="AA1345" s="29"/>
      <c r="AB1345" s="27" t="s">
        <v>2056</v>
      </c>
      <c r="AC1345" s="27"/>
      <c r="AD1345" s="27"/>
      <c r="AE1345" s="31">
        <f>1950</f>
        <v>1950</v>
      </c>
      <c r="AF1345" s="31"/>
      <c r="AG1345" s="31"/>
    </row>
    <row r="1346" spans="1:33" s="1" customFormat="1" ht="18.75" customHeight="1">
      <c r="A1346" s="24" t="s">
        <v>192</v>
      </c>
      <c r="B1346" s="25" t="s">
        <v>193</v>
      </c>
      <c r="C1346" s="25"/>
      <c r="D1346" s="25"/>
      <c r="E1346" s="26" t="s">
        <v>194</v>
      </c>
      <c r="F1346" s="26"/>
      <c r="G1346" s="26"/>
      <c r="H1346" s="26"/>
      <c r="I1346" s="26"/>
      <c r="J1346" s="27" t="s">
        <v>2057</v>
      </c>
      <c r="K1346" s="27"/>
      <c r="L1346" s="27"/>
      <c r="M1346" s="27"/>
      <c r="N1346" s="28">
        <f>1113</f>
        <v>1113</v>
      </c>
      <c r="O1346" s="28"/>
      <c r="P1346" s="28"/>
      <c r="Q1346" s="27" t="s">
        <v>2032</v>
      </c>
      <c r="R1346" s="27"/>
      <c r="S1346" s="29" t="s">
        <v>2032</v>
      </c>
      <c r="T1346" s="29"/>
      <c r="U1346" s="29"/>
      <c r="V1346" s="29"/>
      <c r="W1346" s="30" t="s">
        <v>2032</v>
      </c>
      <c r="X1346" s="29" t="s">
        <v>2032</v>
      </c>
      <c r="Y1346" s="29"/>
      <c r="Z1346" s="29"/>
      <c r="AA1346" s="29"/>
      <c r="AB1346" s="27" t="s">
        <v>2057</v>
      </c>
      <c r="AC1346" s="27"/>
      <c r="AD1346" s="27"/>
      <c r="AE1346" s="31">
        <f>1113</f>
        <v>1113</v>
      </c>
      <c r="AF1346" s="31"/>
      <c r="AG1346" s="31"/>
    </row>
    <row r="1347" spans="1:33" s="1" customFormat="1" ht="18.75" customHeight="1">
      <c r="A1347" s="24" t="s">
        <v>195</v>
      </c>
      <c r="B1347" s="25" t="s">
        <v>196</v>
      </c>
      <c r="C1347" s="25"/>
      <c r="D1347" s="25"/>
      <c r="E1347" s="26" t="s">
        <v>197</v>
      </c>
      <c r="F1347" s="26"/>
      <c r="G1347" s="26"/>
      <c r="H1347" s="26"/>
      <c r="I1347" s="26"/>
      <c r="J1347" s="27" t="s">
        <v>2056</v>
      </c>
      <c r="K1347" s="27"/>
      <c r="L1347" s="27"/>
      <c r="M1347" s="27"/>
      <c r="N1347" s="28">
        <f>325</f>
        <v>325</v>
      </c>
      <c r="O1347" s="28"/>
      <c r="P1347" s="28"/>
      <c r="Q1347" s="27" t="s">
        <v>2032</v>
      </c>
      <c r="R1347" s="27"/>
      <c r="S1347" s="29" t="s">
        <v>2032</v>
      </c>
      <c r="T1347" s="29"/>
      <c r="U1347" s="29"/>
      <c r="V1347" s="29"/>
      <c r="W1347" s="30" t="s">
        <v>2032</v>
      </c>
      <c r="X1347" s="29" t="s">
        <v>2032</v>
      </c>
      <c r="Y1347" s="29"/>
      <c r="Z1347" s="29"/>
      <c r="AA1347" s="29"/>
      <c r="AB1347" s="27" t="s">
        <v>2056</v>
      </c>
      <c r="AC1347" s="27"/>
      <c r="AD1347" s="27"/>
      <c r="AE1347" s="31">
        <f>325</f>
        <v>325</v>
      </c>
      <c r="AF1347" s="31"/>
      <c r="AG1347" s="31"/>
    </row>
    <row r="1348" spans="1:33" s="1" customFormat="1" ht="33" customHeight="1">
      <c r="A1348" s="24" t="s">
        <v>198</v>
      </c>
      <c r="B1348" s="25" t="s">
        <v>199</v>
      </c>
      <c r="C1348" s="25"/>
      <c r="D1348" s="25"/>
      <c r="E1348" s="26" t="s">
        <v>200</v>
      </c>
      <c r="F1348" s="26"/>
      <c r="G1348" s="26"/>
      <c r="H1348" s="26"/>
      <c r="I1348" s="26"/>
      <c r="J1348" s="27" t="s">
        <v>2056</v>
      </c>
      <c r="K1348" s="27"/>
      <c r="L1348" s="27"/>
      <c r="M1348" s="27"/>
      <c r="N1348" s="28">
        <f>118</f>
        <v>118</v>
      </c>
      <c r="O1348" s="28"/>
      <c r="P1348" s="28"/>
      <c r="Q1348" s="27" t="s">
        <v>2032</v>
      </c>
      <c r="R1348" s="27"/>
      <c r="S1348" s="29" t="s">
        <v>2032</v>
      </c>
      <c r="T1348" s="29"/>
      <c r="U1348" s="29"/>
      <c r="V1348" s="29"/>
      <c r="W1348" s="30" t="s">
        <v>2032</v>
      </c>
      <c r="X1348" s="29" t="s">
        <v>2032</v>
      </c>
      <c r="Y1348" s="29"/>
      <c r="Z1348" s="29"/>
      <c r="AA1348" s="29"/>
      <c r="AB1348" s="27" t="s">
        <v>2056</v>
      </c>
      <c r="AC1348" s="27"/>
      <c r="AD1348" s="27"/>
      <c r="AE1348" s="31">
        <f>118</f>
        <v>118</v>
      </c>
      <c r="AF1348" s="31"/>
      <c r="AG1348" s="31"/>
    </row>
    <row r="1349" spans="1:33" s="1" customFormat="1" ht="33" customHeight="1">
      <c r="A1349" s="24" t="s">
        <v>201</v>
      </c>
      <c r="B1349" s="25" t="s">
        <v>202</v>
      </c>
      <c r="C1349" s="25"/>
      <c r="D1349" s="25"/>
      <c r="E1349" s="26" t="s">
        <v>203</v>
      </c>
      <c r="F1349" s="26"/>
      <c r="G1349" s="26"/>
      <c r="H1349" s="26"/>
      <c r="I1349" s="26"/>
      <c r="J1349" s="27" t="s">
        <v>2056</v>
      </c>
      <c r="K1349" s="27"/>
      <c r="L1349" s="27"/>
      <c r="M1349" s="27"/>
      <c r="N1349" s="28">
        <f>118</f>
        <v>118</v>
      </c>
      <c r="O1349" s="28"/>
      <c r="P1349" s="28"/>
      <c r="Q1349" s="27" t="s">
        <v>2032</v>
      </c>
      <c r="R1349" s="27"/>
      <c r="S1349" s="29" t="s">
        <v>2032</v>
      </c>
      <c r="T1349" s="29"/>
      <c r="U1349" s="29"/>
      <c r="V1349" s="29"/>
      <c r="W1349" s="30" t="s">
        <v>2032</v>
      </c>
      <c r="X1349" s="29" t="s">
        <v>2032</v>
      </c>
      <c r="Y1349" s="29"/>
      <c r="Z1349" s="29"/>
      <c r="AA1349" s="29"/>
      <c r="AB1349" s="27" t="s">
        <v>2056</v>
      </c>
      <c r="AC1349" s="27"/>
      <c r="AD1349" s="27"/>
      <c r="AE1349" s="31">
        <f>118</f>
        <v>118</v>
      </c>
      <c r="AF1349" s="31"/>
      <c r="AG1349" s="31"/>
    </row>
    <row r="1350" spans="1:33" s="1" customFormat="1" ht="33" customHeight="1">
      <c r="A1350" s="24" t="s">
        <v>204</v>
      </c>
      <c r="B1350" s="25" t="s">
        <v>205</v>
      </c>
      <c r="C1350" s="25"/>
      <c r="D1350" s="25"/>
      <c r="E1350" s="26" t="s">
        <v>206</v>
      </c>
      <c r="F1350" s="26"/>
      <c r="G1350" s="26"/>
      <c r="H1350" s="26"/>
      <c r="I1350" s="26"/>
      <c r="J1350" s="27" t="s">
        <v>2056</v>
      </c>
      <c r="K1350" s="27"/>
      <c r="L1350" s="27"/>
      <c r="M1350" s="27"/>
      <c r="N1350" s="28">
        <f>118</f>
        <v>118</v>
      </c>
      <c r="O1350" s="28"/>
      <c r="P1350" s="28"/>
      <c r="Q1350" s="27" t="s">
        <v>2032</v>
      </c>
      <c r="R1350" s="27"/>
      <c r="S1350" s="29" t="s">
        <v>2032</v>
      </c>
      <c r="T1350" s="29"/>
      <c r="U1350" s="29"/>
      <c r="V1350" s="29"/>
      <c r="W1350" s="30" t="s">
        <v>2032</v>
      </c>
      <c r="X1350" s="29" t="s">
        <v>2032</v>
      </c>
      <c r="Y1350" s="29"/>
      <c r="Z1350" s="29"/>
      <c r="AA1350" s="29"/>
      <c r="AB1350" s="27" t="s">
        <v>2056</v>
      </c>
      <c r="AC1350" s="27"/>
      <c r="AD1350" s="27"/>
      <c r="AE1350" s="31">
        <f>118</f>
        <v>118</v>
      </c>
      <c r="AF1350" s="31"/>
      <c r="AG1350" s="31"/>
    </row>
    <row r="1351" spans="1:33" s="1" customFormat="1" ht="46.5" customHeight="1">
      <c r="A1351" s="24" t="s">
        <v>207</v>
      </c>
      <c r="B1351" s="25" t="s">
        <v>208</v>
      </c>
      <c r="C1351" s="25"/>
      <c r="D1351" s="25"/>
      <c r="E1351" s="26" t="s">
        <v>209</v>
      </c>
      <c r="F1351" s="26"/>
      <c r="G1351" s="26"/>
      <c r="H1351" s="26"/>
      <c r="I1351" s="26"/>
      <c r="J1351" s="27" t="s">
        <v>2056</v>
      </c>
      <c r="K1351" s="27"/>
      <c r="L1351" s="27"/>
      <c r="M1351" s="27"/>
      <c r="N1351" s="28">
        <f>325</f>
        <v>325</v>
      </c>
      <c r="O1351" s="28"/>
      <c r="P1351" s="28"/>
      <c r="Q1351" s="27" t="s">
        <v>2032</v>
      </c>
      <c r="R1351" s="27"/>
      <c r="S1351" s="29" t="s">
        <v>2032</v>
      </c>
      <c r="T1351" s="29"/>
      <c r="U1351" s="29"/>
      <c r="V1351" s="29"/>
      <c r="W1351" s="30" t="s">
        <v>2032</v>
      </c>
      <c r="X1351" s="29" t="s">
        <v>2032</v>
      </c>
      <c r="Y1351" s="29"/>
      <c r="Z1351" s="29"/>
      <c r="AA1351" s="29"/>
      <c r="AB1351" s="27" t="s">
        <v>2056</v>
      </c>
      <c r="AC1351" s="27"/>
      <c r="AD1351" s="27"/>
      <c r="AE1351" s="31">
        <f>325</f>
        <v>325</v>
      </c>
      <c r="AF1351" s="31"/>
      <c r="AG1351" s="31"/>
    </row>
    <row r="1352" spans="1:33" s="1" customFormat="1" ht="33" customHeight="1">
      <c r="A1352" s="24" t="s">
        <v>210</v>
      </c>
      <c r="B1352" s="25" t="s">
        <v>211</v>
      </c>
      <c r="C1352" s="25"/>
      <c r="D1352" s="25"/>
      <c r="E1352" s="26" t="s">
        <v>212</v>
      </c>
      <c r="F1352" s="26"/>
      <c r="G1352" s="26"/>
      <c r="H1352" s="26"/>
      <c r="I1352" s="26"/>
      <c r="J1352" s="27" t="s">
        <v>2056</v>
      </c>
      <c r="K1352" s="27"/>
      <c r="L1352" s="27"/>
      <c r="M1352" s="27"/>
      <c r="N1352" s="28">
        <f>325</f>
        <v>325</v>
      </c>
      <c r="O1352" s="28"/>
      <c r="P1352" s="28"/>
      <c r="Q1352" s="27" t="s">
        <v>2032</v>
      </c>
      <c r="R1352" s="27"/>
      <c r="S1352" s="29" t="s">
        <v>2032</v>
      </c>
      <c r="T1352" s="29"/>
      <c r="U1352" s="29"/>
      <c r="V1352" s="29"/>
      <c r="W1352" s="30" t="s">
        <v>2032</v>
      </c>
      <c r="X1352" s="29" t="s">
        <v>2032</v>
      </c>
      <c r="Y1352" s="29"/>
      <c r="Z1352" s="29"/>
      <c r="AA1352" s="29"/>
      <c r="AB1352" s="27" t="s">
        <v>2056</v>
      </c>
      <c r="AC1352" s="27"/>
      <c r="AD1352" s="27"/>
      <c r="AE1352" s="31">
        <f>325</f>
        <v>325</v>
      </c>
      <c r="AF1352" s="31"/>
      <c r="AG1352" s="31"/>
    </row>
    <row r="1353" spans="1:33" s="1" customFormat="1" ht="18.75" customHeight="1">
      <c r="A1353" s="24" t="s">
        <v>213</v>
      </c>
      <c r="B1353" s="25" t="s">
        <v>5</v>
      </c>
      <c r="C1353" s="25"/>
      <c r="D1353" s="25"/>
      <c r="E1353" s="26" t="s">
        <v>214</v>
      </c>
      <c r="F1353" s="26"/>
      <c r="G1353" s="26"/>
      <c r="H1353" s="26"/>
      <c r="I1353" s="26"/>
      <c r="J1353" s="27" t="s">
        <v>2058</v>
      </c>
      <c r="K1353" s="27"/>
      <c r="L1353" s="27"/>
      <c r="M1353" s="27"/>
      <c r="N1353" s="28">
        <f>540</f>
        <v>540</v>
      </c>
      <c r="O1353" s="28"/>
      <c r="P1353" s="28"/>
      <c r="Q1353" s="27" t="s">
        <v>2032</v>
      </c>
      <c r="R1353" s="27"/>
      <c r="S1353" s="29" t="s">
        <v>2032</v>
      </c>
      <c r="T1353" s="29"/>
      <c r="U1353" s="29"/>
      <c r="V1353" s="29"/>
      <c r="W1353" s="30" t="s">
        <v>2032</v>
      </c>
      <c r="X1353" s="29" t="s">
        <v>2032</v>
      </c>
      <c r="Y1353" s="29"/>
      <c r="Z1353" s="29"/>
      <c r="AA1353" s="29"/>
      <c r="AB1353" s="27" t="s">
        <v>2058</v>
      </c>
      <c r="AC1353" s="27"/>
      <c r="AD1353" s="27"/>
      <c r="AE1353" s="31">
        <f>540</f>
        <v>540</v>
      </c>
      <c r="AF1353" s="31"/>
      <c r="AG1353" s="31"/>
    </row>
    <row r="1354" spans="1:33" s="1" customFormat="1" ht="18.75" customHeight="1">
      <c r="A1354" s="24" t="s">
        <v>215</v>
      </c>
      <c r="B1354" s="25" t="s">
        <v>517</v>
      </c>
      <c r="C1354" s="25"/>
      <c r="D1354" s="25"/>
      <c r="E1354" s="26" t="s">
        <v>216</v>
      </c>
      <c r="F1354" s="26"/>
      <c r="G1354" s="26"/>
      <c r="H1354" s="26"/>
      <c r="I1354" s="26"/>
      <c r="J1354" s="27" t="s">
        <v>2056</v>
      </c>
      <c r="K1354" s="27"/>
      <c r="L1354" s="27"/>
      <c r="M1354" s="27"/>
      <c r="N1354" s="28">
        <f>150</f>
        <v>150</v>
      </c>
      <c r="O1354" s="28"/>
      <c r="P1354" s="28"/>
      <c r="Q1354" s="27" t="s">
        <v>2032</v>
      </c>
      <c r="R1354" s="27"/>
      <c r="S1354" s="29" t="s">
        <v>2032</v>
      </c>
      <c r="T1354" s="29"/>
      <c r="U1354" s="29"/>
      <c r="V1354" s="29"/>
      <c r="W1354" s="30" t="s">
        <v>2032</v>
      </c>
      <c r="X1354" s="29" t="s">
        <v>2032</v>
      </c>
      <c r="Y1354" s="29"/>
      <c r="Z1354" s="29"/>
      <c r="AA1354" s="29"/>
      <c r="AB1354" s="27" t="s">
        <v>2056</v>
      </c>
      <c r="AC1354" s="27"/>
      <c r="AD1354" s="27"/>
      <c r="AE1354" s="31">
        <f>150</f>
        <v>150</v>
      </c>
      <c r="AF1354" s="31"/>
      <c r="AG1354" s="31"/>
    </row>
    <row r="1355" spans="1:33" s="1" customFormat="1" ht="18.75" customHeight="1">
      <c r="A1355" s="24" t="s">
        <v>217</v>
      </c>
      <c r="B1355" s="25" t="s">
        <v>3750</v>
      </c>
      <c r="C1355" s="25"/>
      <c r="D1355" s="25"/>
      <c r="E1355" s="26" t="s">
        <v>218</v>
      </c>
      <c r="F1355" s="26"/>
      <c r="G1355" s="26"/>
      <c r="H1355" s="26"/>
      <c r="I1355" s="26"/>
      <c r="J1355" s="27" t="s">
        <v>2056</v>
      </c>
      <c r="K1355" s="27"/>
      <c r="L1355" s="27"/>
      <c r="M1355" s="27"/>
      <c r="N1355" s="28">
        <f>150</f>
        <v>150</v>
      </c>
      <c r="O1355" s="28"/>
      <c r="P1355" s="28"/>
      <c r="Q1355" s="27" t="s">
        <v>2032</v>
      </c>
      <c r="R1355" s="27"/>
      <c r="S1355" s="29" t="s">
        <v>2032</v>
      </c>
      <c r="T1355" s="29"/>
      <c r="U1355" s="29"/>
      <c r="V1355" s="29"/>
      <c r="W1355" s="30" t="s">
        <v>2032</v>
      </c>
      <c r="X1355" s="29" t="s">
        <v>2032</v>
      </c>
      <c r="Y1355" s="29"/>
      <c r="Z1355" s="29"/>
      <c r="AA1355" s="29"/>
      <c r="AB1355" s="27" t="s">
        <v>2056</v>
      </c>
      <c r="AC1355" s="27"/>
      <c r="AD1355" s="27"/>
      <c r="AE1355" s="31">
        <f>150</f>
        <v>150</v>
      </c>
      <c r="AF1355" s="31"/>
      <c r="AG1355" s="31"/>
    </row>
    <row r="1356" spans="1:33" s="1" customFormat="1" ht="18.75" customHeight="1">
      <c r="A1356" s="24" t="s">
        <v>219</v>
      </c>
      <c r="B1356" s="25" t="s">
        <v>73</v>
      </c>
      <c r="C1356" s="25"/>
      <c r="D1356" s="25"/>
      <c r="E1356" s="26" t="s">
        <v>220</v>
      </c>
      <c r="F1356" s="26"/>
      <c r="G1356" s="26"/>
      <c r="H1356" s="26"/>
      <c r="I1356" s="26"/>
      <c r="J1356" s="27" t="s">
        <v>2058</v>
      </c>
      <c r="K1356" s="27"/>
      <c r="L1356" s="27"/>
      <c r="M1356" s="27"/>
      <c r="N1356" s="28">
        <f>750</f>
        <v>750</v>
      </c>
      <c r="O1356" s="28"/>
      <c r="P1356" s="28"/>
      <c r="Q1356" s="27" t="s">
        <v>2032</v>
      </c>
      <c r="R1356" s="27"/>
      <c r="S1356" s="29" t="s">
        <v>2032</v>
      </c>
      <c r="T1356" s="29"/>
      <c r="U1356" s="29"/>
      <c r="V1356" s="29"/>
      <c r="W1356" s="30" t="s">
        <v>2032</v>
      </c>
      <c r="X1356" s="29" t="s">
        <v>2032</v>
      </c>
      <c r="Y1356" s="29"/>
      <c r="Z1356" s="29"/>
      <c r="AA1356" s="29"/>
      <c r="AB1356" s="27" t="s">
        <v>2058</v>
      </c>
      <c r="AC1356" s="27"/>
      <c r="AD1356" s="27"/>
      <c r="AE1356" s="31">
        <f>750</f>
        <v>750</v>
      </c>
      <c r="AF1356" s="31"/>
      <c r="AG1356" s="31"/>
    </row>
    <row r="1357" spans="1:33" s="1" customFormat="1" ht="18.75" customHeight="1">
      <c r="A1357" s="24" t="s">
        <v>221</v>
      </c>
      <c r="B1357" s="25" t="s">
        <v>432</v>
      </c>
      <c r="C1357" s="25"/>
      <c r="D1357" s="25"/>
      <c r="E1357" s="26" t="s">
        <v>222</v>
      </c>
      <c r="F1357" s="26"/>
      <c r="G1357" s="26"/>
      <c r="H1357" s="26"/>
      <c r="I1357" s="26"/>
      <c r="J1357" s="27" t="s">
        <v>2056</v>
      </c>
      <c r="K1357" s="27"/>
      <c r="L1357" s="27"/>
      <c r="M1357" s="27"/>
      <c r="N1357" s="28">
        <f>292.25</f>
        <v>292.25</v>
      </c>
      <c r="O1357" s="28"/>
      <c r="P1357" s="28"/>
      <c r="Q1357" s="27" t="s">
        <v>2032</v>
      </c>
      <c r="R1357" s="27"/>
      <c r="S1357" s="29" t="s">
        <v>2032</v>
      </c>
      <c r="T1357" s="29"/>
      <c r="U1357" s="29"/>
      <c r="V1357" s="29"/>
      <c r="W1357" s="30" t="s">
        <v>2032</v>
      </c>
      <c r="X1357" s="29" t="s">
        <v>2032</v>
      </c>
      <c r="Y1357" s="29"/>
      <c r="Z1357" s="29"/>
      <c r="AA1357" s="29"/>
      <c r="AB1357" s="27" t="s">
        <v>2056</v>
      </c>
      <c r="AC1357" s="27"/>
      <c r="AD1357" s="27"/>
      <c r="AE1357" s="31">
        <f>292.25</f>
        <v>292.25</v>
      </c>
      <c r="AF1357" s="31"/>
      <c r="AG1357" s="31"/>
    </row>
    <row r="1358" spans="1:33" s="1" customFormat="1" ht="30.75" customHeight="1">
      <c r="A1358" s="32" t="s">
        <v>223</v>
      </c>
      <c r="B1358" s="32"/>
      <c r="C1358" s="32"/>
      <c r="D1358" s="32"/>
      <c r="E1358" s="32"/>
      <c r="F1358" s="32"/>
      <c r="G1358" s="32"/>
      <c r="H1358" s="32"/>
      <c r="I1358" s="32"/>
      <c r="J1358" s="33" t="s">
        <v>224</v>
      </c>
      <c r="K1358" s="33"/>
      <c r="L1358" s="33"/>
      <c r="M1358" s="33"/>
      <c r="N1358" s="34">
        <f>4041083.57</f>
        <v>4041083.57</v>
      </c>
      <c r="O1358" s="34"/>
      <c r="P1358" s="34"/>
      <c r="Q1358" s="33" t="s">
        <v>2032</v>
      </c>
      <c r="R1358" s="33"/>
      <c r="S1358" s="35" t="s">
        <v>2032</v>
      </c>
      <c r="T1358" s="35"/>
      <c r="U1358" s="35"/>
      <c r="V1358" s="35"/>
      <c r="W1358" s="36" t="s">
        <v>2032</v>
      </c>
      <c r="X1358" s="35" t="s">
        <v>2032</v>
      </c>
      <c r="Y1358" s="35"/>
      <c r="Z1358" s="35"/>
      <c r="AA1358" s="35"/>
      <c r="AB1358" s="33" t="s">
        <v>224</v>
      </c>
      <c r="AC1358" s="33"/>
      <c r="AD1358" s="33"/>
      <c r="AE1358" s="37">
        <f>4041083.57</f>
        <v>4041083.57</v>
      </c>
      <c r="AF1358" s="37"/>
      <c r="AG1358" s="37"/>
    </row>
    <row r="1359" spans="1:33" s="1" customFormat="1" ht="30" customHeight="1">
      <c r="A1359" s="38" t="s">
        <v>225</v>
      </c>
      <c r="B1359" s="38"/>
      <c r="C1359" s="38"/>
      <c r="D1359" s="39" t="s">
        <v>2032</v>
      </c>
      <c r="E1359" s="39"/>
      <c r="F1359" s="39"/>
      <c r="G1359" s="39"/>
      <c r="H1359" s="39"/>
      <c r="I1359" s="39"/>
      <c r="J1359" s="39"/>
      <c r="K1359" s="39"/>
      <c r="L1359" s="39" t="s">
        <v>2032</v>
      </c>
      <c r="M1359" s="39"/>
      <c r="N1359" s="39"/>
      <c r="O1359" s="39"/>
      <c r="P1359" s="39"/>
      <c r="Q1359" s="39"/>
      <c r="R1359" s="39"/>
      <c r="S1359" s="39"/>
      <c r="T1359" s="39"/>
      <c r="U1359" s="39" t="s">
        <v>2032</v>
      </c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</row>
    <row r="1360" spans="1:33" s="1" customFormat="1" ht="15.75" customHeight="1">
      <c r="A1360" s="40" t="s">
        <v>2032</v>
      </c>
      <c r="B1360" s="40"/>
      <c r="C1360" s="40"/>
      <c r="D1360" s="41" t="s">
        <v>2032</v>
      </c>
      <c r="E1360" s="41"/>
      <c r="F1360" s="42" t="s">
        <v>226</v>
      </c>
      <c r="G1360" s="42"/>
      <c r="H1360" s="42"/>
      <c r="I1360" s="42"/>
      <c r="J1360" s="42"/>
      <c r="K1360" s="43" t="s">
        <v>2032</v>
      </c>
      <c r="L1360" s="40" t="s">
        <v>2032</v>
      </c>
      <c r="M1360" s="40"/>
      <c r="N1360" s="40"/>
      <c r="O1360" s="42" t="s">
        <v>227</v>
      </c>
      <c r="P1360" s="42"/>
      <c r="Q1360" s="42"/>
      <c r="R1360" s="42"/>
      <c r="S1360" s="42"/>
      <c r="T1360" s="44" t="s">
        <v>2032</v>
      </c>
      <c r="U1360" s="44" t="s">
        <v>2032</v>
      </c>
      <c r="V1360" s="42" t="s">
        <v>228</v>
      </c>
      <c r="W1360" s="42"/>
      <c r="X1360" s="42"/>
      <c r="Y1360" s="42"/>
      <c r="Z1360" s="42"/>
      <c r="AA1360" s="42"/>
      <c r="AB1360" s="42"/>
      <c r="AC1360" s="42"/>
      <c r="AD1360" s="42"/>
      <c r="AE1360" s="42"/>
      <c r="AF1360" s="40" t="s">
        <v>2032</v>
      </c>
      <c r="AG1360" s="40"/>
    </row>
    <row r="1361" spans="1:33" s="1" customFormat="1" ht="30" customHeight="1">
      <c r="A1361" s="38" t="s">
        <v>229</v>
      </c>
      <c r="B1361" s="38"/>
      <c r="C1361" s="38"/>
      <c r="D1361" s="38"/>
      <c r="E1361" s="38"/>
      <c r="F1361" s="38" t="s">
        <v>2032</v>
      </c>
      <c r="G1361" s="38"/>
      <c r="H1361" s="38"/>
      <c r="I1361" s="38"/>
      <c r="J1361" s="38"/>
      <c r="K1361" s="38"/>
      <c r="L1361" s="38"/>
      <c r="M1361" s="38"/>
      <c r="N1361" s="38"/>
      <c r="O1361" s="38"/>
      <c r="P1361" s="39" t="s">
        <v>230</v>
      </c>
      <c r="Q1361" s="39"/>
      <c r="R1361" s="39"/>
      <c r="S1361" s="39"/>
      <c r="T1361" s="39"/>
      <c r="U1361" s="39"/>
      <c r="V1361" s="39"/>
      <c r="W1361" s="39"/>
      <c r="X1361" s="39"/>
      <c r="Y1361" s="39"/>
      <c r="Z1361" s="40" t="s">
        <v>2032</v>
      </c>
      <c r="AA1361" s="40"/>
      <c r="AB1361" s="40"/>
      <c r="AC1361" s="40"/>
      <c r="AD1361" s="40"/>
      <c r="AE1361" s="40"/>
      <c r="AF1361" s="40"/>
      <c r="AG1361" s="40"/>
    </row>
    <row r="1362" spans="1:33" s="1" customFormat="1" ht="18" customHeight="1">
      <c r="A1362" s="40" t="s">
        <v>2032</v>
      </c>
      <c r="B1362" s="40"/>
      <c r="C1362" s="40"/>
      <c r="D1362" s="40"/>
      <c r="E1362" s="40"/>
      <c r="F1362" s="44" t="s">
        <v>2032</v>
      </c>
      <c r="G1362" s="42" t="s">
        <v>227</v>
      </c>
      <c r="H1362" s="42"/>
      <c r="I1362" s="42"/>
      <c r="J1362" s="42"/>
      <c r="K1362" s="42"/>
      <c r="L1362" s="42"/>
      <c r="M1362" s="40" t="s">
        <v>2032</v>
      </c>
      <c r="N1362" s="40"/>
      <c r="O1362" s="40"/>
      <c r="P1362" s="40" t="s">
        <v>2032</v>
      </c>
      <c r="Q1362" s="40"/>
      <c r="R1362" s="42" t="s">
        <v>228</v>
      </c>
      <c r="S1362" s="42"/>
      <c r="T1362" s="42"/>
      <c r="U1362" s="42"/>
      <c r="V1362" s="42"/>
      <c r="W1362" s="42"/>
      <c r="X1362" s="42"/>
      <c r="Y1362" s="40" t="s">
        <v>2032</v>
      </c>
      <c r="Z1362" s="40"/>
      <c r="AA1362" s="40"/>
      <c r="AB1362" s="40"/>
      <c r="AC1362" s="40"/>
      <c r="AD1362" s="40"/>
      <c r="AE1362" s="40"/>
      <c r="AF1362" s="40"/>
      <c r="AG1362" s="40"/>
    </row>
    <row r="1363" spans="1:33" s="1" customFormat="1" ht="18.75" customHeight="1">
      <c r="A1363" s="45" t="s">
        <v>231</v>
      </c>
      <c r="B1363" s="45"/>
      <c r="C1363" s="45"/>
      <c r="D1363" s="45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</row>
  </sheetData>
  <mergeCells count="12157">
    <mergeCell ref="R1362:X1362"/>
    <mergeCell ref="Y1362:AG1362"/>
    <mergeCell ref="A1363:AG1363"/>
    <mergeCell ref="A1362:E1362"/>
    <mergeCell ref="G1362:L1362"/>
    <mergeCell ref="M1362:O1362"/>
    <mergeCell ref="P1362:Q1362"/>
    <mergeCell ref="O1360:S1360"/>
    <mergeCell ref="V1360:AE1360"/>
    <mergeCell ref="AF1360:AG1360"/>
    <mergeCell ref="A1361:E1361"/>
    <mergeCell ref="F1361:O1361"/>
    <mergeCell ref="P1361:Y1361"/>
    <mergeCell ref="Z1361:AG1361"/>
    <mergeCell ref="A1360:C1360"/>
    <mergeCell ref="D1360:E1360"/>
    <mergeCell ref="F1360:J1360"/>
    <mergeCell ref="L1360:N1360"/>
    <mergeCell ref="A1359:C1359"/>
    <mergeCell ref="D1359:K1359"/>
    <mergeCell ref="L1359:T1359"/>
    <mergeCell ref="U1359:AG1359"/>
    <mergeCell ref="S1358:V1358"/>
    <mergeCell ref="X1358:AA1358"/>
    <mergeCell ref="AB1358:AD1358"/>
    <mergeCell ref="AE1358:AG1358"/>
    <mergeCell ref="A1358:I1358"/>
    <mergeCell ref="J1358:M1358"/>
    <mergeCell ref="N1358:P1358"/>
    <mergeCell ref="Q1358:R1358"/>
    <mergeCell ref="AE1356:AG1356"/>
    <mergeCell ref="B1357:D1357"/>
    <mergeCell ref="E1357:I1357"/>
    <mergeCell ref="J1357:M1357"/>
    <mergeCell ref="N1357:P1357"/>
    <mergeCell ref="Q1357:R1357"/>
    <mergeCell ref="S1357:V1357"/>
    <mergeCell ref="X1357:AA1357"/>
    <mergeCell ref="AB1357:AD1357"/>
    <mergeCell ref="AE1357:AG1357"/>
    <mergeCell ref="Q1356:R1356"/>
    <mergeCell ref="S1356:V1356"/>
    <mergeCell ref="X1356:AA1356"/>
    <mergeCell ref="AB1356:AD1356"/>
    <mergeCell ref="B1356:D1356"/>
    <mergeCell ref="E1356:I1356"/>
    <mergeCell ref="J1356:M1356"/>
    <mergeCell ref="N1356:P1356"/>
    <mergeCell ref="AE1354:AG1354"/>
    <mergeCell ref="B1355:D1355"/>
    <mergeCell ref="E1355:I1355"/>
    <mergeCell ref="J1355:M1355"/>
    <mergeCell ref="N1355:P1355"/>
    <mergeCell ref="Q1355:R1355"/>
    <mergeCell ref="S1355:V1355"/>
    <mergeCell ref="X1355:AA1355"/>
    <mergeCell ref="AB1355:AD1355"/>
    <mergeCell ref="AE1355:AG1355"/>
    <mergeCell ref="Q1354:R1354"/>
    <mergeCell ref="S1354:V1354"/>
    <mergeCell ref="X1354:AA1354"/>
    <mergeCell ref="AB1354:AD1354"/>
    <mergeCell ref="B1354:D1354"/>
    <mergeCell ref="E1354:I1354"/>
    <mergeCell ref="J1354:M1354"/>
    <mergeCell ref="N1354:P1354"/>
    <mergeCell ref="AE1352:AG1352"/>
    <mergeCell ref="B1353:D1353"/>
    <mergeCell ref="E1353:I1353"/>
    <mergeCell ref="J1353:M1353"/>
    <mergeCell ref="N1353:P1353"/>
    <mergeCell ref="Q1353:R1353"/>
    <mergeCell ref="S1353:V1353"/>
    <mergeCell ref="X1353:AA1353"/>
    <mergeCell ref="AB1353:AD1353"/>
    <mergeCell ref="AE1353:AG1353"/>
    <mergeCell ref="Q1352:R1352"/>
    <mergeCell ref="S1352:V1352"/>
    <mergeCell ref="X1352:AA1352"/>
    <mergeCell ref="AB1352:AD1352"/>
    <mergeCell ref="B1352:D1352"/>
    <mergeCell ref="E1352:I1352"/>
    <mergeCell ref="J1352:M1352"/>
    <mergeCell ref="N1352:P1352"/>
    <mergeCell ref="AE1350:AG1350"/>
    <mergeCell ref="B1351:D1351"/>
    <mergeCell ref="E1351:I1351"/>
    <mergeCell ref="J1351:M1351"/>
    <mergeCell ref="N1351:P1351"/>
    <mergeCell ref="Q1351:R1351"/>
    <mergeCell ref="S1351:V1351"/>
    <mergeCell ref="X1351:AA1351"/>
    <mergeCell ref="AB1351:AD1351"/>
    <mergeCell ref="AE1351:AG1351"/>
    <mergeCell ref="Q1350:R1350"/>
    <mergeCell ref="S1350:V1350"/>
    <mergeCell ref="X1350:AA1350"/>
    <mergeCell ref="AB1350:AD1350"/>
    <mergeCell ref="B1350:D1350"/>
    <mergeCell ref="E1350:I1350"/>
    <mergeCell ref="J1350:M1350"/>
    <mergeCell ref="N1350:P1350"/>
    <mergeCell ref="AE1348:AG1348"/>
    <mergeCell ref="B1349:D1349"/>
    <mergeCell ref="E1349:I1349"/>
    <mergeCell ref="J1349:M1349"/>
    <mergeCell ref="N1349:P1349"/>
    <mergeCell ref="Q1349:R1349"/>
    <mergeCell ref="S1349:V1349"/>
    <mergeCell ref="X1349:AA1349"/>
    <mergeCell ref="AB1349:AD1349"/>
    <mergeCell ref="AE1349:AG1349"/>
    <mergeCell ref="Q1348:R1348"/>
    <mergeCell ref="S1348:V1348"/>
    <mergeCell ref="X1348:AA1348"/>
    <mergeCell ref="AB1348:AD1348"/>
    <mergeCell ref="B1348:D1348"/>
    <mergeCell ref="E1348:I1348"/>
    <mergeCell ref="J1348:M1348"/>
    <mergeCell ref="N1348:P1348"/>
    <mergeCell ref="AE1346:AG1346"/>
    <mergeCell ref="B1347:D1347"/>
    <mergeCell ref="E1347:I1347"/>
    <mergeCell ref="J1347:M1347"/>
    <mergeCell ref="N1347:P1347"/>
    <mergeCell ref="Q1347:R1347"/>
    <mergeCell ref="S1347:V1347"/>
    <mergeCell ref="X1347:AA1347"/>
    <mergeCell ref="AB1347:AD1347"/>
    <mergeCell ref="AE1347:AG1347"/>
    <mergeCell ref="Q1346:R1346"/>
    <mergeCell ref="S1346:V1346"/>
    <mergeCell ref="X1346:AA1346"/>
    <mergeCell ref="AB1346:AD1346"/>
    <mergeCell ref="B1346:D1346"/>
    <mergeCell ref="E1346:I1346"/>
    <mergeCell ref="J1346:M1346"/>
    <mergeCell ref="N1346:P1346"/>
    <mergeCell ref="AE1344:AG1344"/>
    <mergeCell ref="B1345:D1345"/>
    <mergeCell ref="E1345:I1345"/>
    <mergeCell ref="J1345:M1345"/>
    <mergeCell ref="N1345:P1345"/>
    <mergeCell ref="Q1345:R1345"/>
    <mergeCell ref="S1345:V1345"/>
    <mergeCell ref="X1345:AA1345"/>
    <mergeCell ref="AB1345:AD1345"/>
    <mergeCell ref="AE1345:AG1345"/>
    <mergeCell ref="Q1344:R1344"/>
    <mergeCell ref="S1344:V1344"/>
    <mergeCell ref="X1344:AA1344"/>
    <mergeCell ref="AB1344:AD1344"/>
    <mergeCell ref="B1344:D1344"/>
    <mergeCell ref="E1344:I1344"/>
    <mergeCell ref="J1344:M1344"/>
    <mergeCell ref="N1344:P1344"/>
    <mergeCell ref="AE1342:AG1342"/>
    <mergeCell ref="B1343:D1343"/>
    <mergeCell ref="E1343:I1343"/>
    <mergeCell ref="J1343:M1343"/>
    <mergeCell ref="N1343:P1343"/>
    <mergeCell ref="Q1343:R1343"/>
    <mergeCell ref="S1343:V1343"/>
    <mergeCell ref="X1343:AA1343"/>
    <mergeCell ref="AB1343:AD1343"/>
    <mergeCell ref="AE1343:AG1343"/>
    <mergeCell ref="Q1342:R1342"/>
    <mergeCell ref="S1342:V1342"/>
    <mergeCell ref="X1342:AA1342"/>
    <mergeCell ref="AB1342:AD1342"/>
    <mergeCell ref="B1342:D1342"/>
    <mergeCell ref="E1342:I1342"/>
    <mergeCell ref="J1342:M1342"/>
    <mergeCell ref="N1342:P1342"/>
    <mergeCell ref="AE1340:AG1340"/>
    <mergeCell ref="B1341:D1341"/>
    <mergeCell ref="E1341:I1341"/>
    <mergeCell ref="J1341:M1341"/>
    <mergeCell ref="N1341:P1341"/>
    <mergeCell ref="Q1341:R1341"/>
    <mergeCell ref="S1341:V1341"/>
    <mergeCell ref="X1341:AA1341"/>
    <mergeCell ref="AB1341:AD1341"/>
    <mergeCell ref="AE1341:AG1341"/>
    <mergeCell ref="Q1340:R1340"/>
    <mergeCell ref="S1340:V1340"/>
    <mergeCell ref="X1340:AA1340"/>
    <mergeCell ref="AB1340:AD1340"/>
    <mergeCell ref="B1340:D1340"/>
    <mergeCell ref="E1340:I1340"/>
    <mergeCell ref="J1340:M1340"/>
    <mergeCell ref="N1340:P1340"/>
    <mergeCell ref="AE1338:AG1338"/>
    <mergeCell ref="B1339:D1339"/>
    <mergeCell ref="E1339:I1339"/>
    <mergeCell ref="J1339:M1339"/>
    <mergeCell ref="N1339:P1339"/>
    <mergeCell ref="Q1339:R1339"/>
    <mergeCell ref="S1339:V1339"/>
    <mergeCell ref="X1339:AA1339"/>
    <mergeCell ref="AB1339:AD1339"/>
    <mergeCell ref="AE1339:AG1339"/>
    <mergeCell ref="Q1338:R1338"/>
    <mergeCell ref="S1338:V1338"/>
    <mergeCell ref="X1338:AA1338"/>
    <mergeCell ref="AB1338:AD1338"/>
    <mergeCell ref="B1338:D1338"/>
    <mergeCell ref="E1338:I1338"/>
    <mergeCell ref="J1338:M1338"/>
    <mergeCell ref="N1338:P1338"/>
    <mergeCell ref="AE1336:AG1336"/>
    <mergeCell ref="B1337:D1337"/>
    <mergeCell ref="E1337:I1337"/>
    <mergeCell ref="J1337:M1337"/>
    <mergeCell ref="N1337:P1337"/>
    <mergeCell ref="Q1337:R1337"/>
    <mergeCell ref="S1337:V1337"/>
    <mergeCell ref="X1337:AA1337"/>
    <mergeCell ref="AB1337:AD1337"/>
    <mergeCell ref="AE1337:AG1337"/>
    <mergeCell ref="Q1336:R1336"/>
    <mergeCell ref="S1336:V1336"/>
    <mergeCell ref="X1336:AA1336"/>
    <mergeCell ref="AB1336:AD1336"/>
    <mergeCell ref="B1336:D1336"/>
    <mergeCell ref="E1336:I1336"/>
    <mergeCell ref="J1336:M1336"/>
    <mergeCell ref="N1336:P1336"/>
    <mergeCell ref="AE1334:AG1334"/>
    <mergeCell ref="B1335:D1335"/>
    <mergeCell ref="E1335:I1335"/>
    <mergeCell ref="J1335:M1335"/>
    <mergeCell ref="N1335:P1335"/>
    <mergeCell ref="Q1335:R1335"/>
    <mergeCell ref="S1335:V1335"/>
    <mergeCell ref="X1335:AA1335"/>
    <mergeCell ref="AB1335:AD1335"/>
    <mergeCell ref="AE1335:AG1335"/>
    <mergeCell ref="Q1334:R1334"/>
    <mergeCell ref="S1334:V1334"/>
    <mergeCell ref="X1334:AA1334"/>
    <mergeCell ref="AB1334:AD1334"/>
    <mergeCell ref="B1334:D1334"/>
    <mergeCell ref="E1334:I1334"/>
    <mergeCell ref="J1334:M1334"/>
    <mergeCell ref="N1334:P1334"/>
    <mergeCell ref="AE1332:AG1332"/>
    <mergeCell ref="B1333:D1333"/>
    <mergeCell ref="E1333:I1333"/>
    <mergeCell ref="J1333:M1333"/>
    <mergeCell ref="N1333:P1333"/>
    <mergeCell ref="Q1333:R1333"/>
    <mergeCell ref="S1333:V1333"/>
    <mergeCell ref="X1333:AA1333"/>
    <mergeCell ref="AB1333:AD1333"/>
    <mergeCell ref="AE1333:AG1333"/>
    <mergeCell ref="Q1332:R1332"/>
    <mergeCell ref="S1332:V1332"/>
    <mergeCell ref="X1332:AA1332"/>
    <mergeCell ref="AB1332:AD1332"/>
    <mergeCell ref="B1332:D1332"/>
    <mergeCell ref="E1332:I1332"/>
    <mergeCell ref="J1332:M1332"/>
    <mergeCell ref="N1332:P1332"/>
    <mergeCell ref="AE1330:AG1330"/>
    <mergeCell ref="B1331:D1331"/>
    <mergeCell ref="E1331:I1331"/>
    <mergeCell ref="J1331:M1331"/>
    <mergeCell ref="N1331:P1331"/>
    <mergeCell ref="Q1331:R1331"/>
    <mergeCell ref="S1331:V1331"/>
    <mergeCell ref="X1331:AA1331"/>
    <mergeCell ref="AB1331:AD1331"/>
    <mergeCell ref="AE1331:AG1331"/>
    <mergeCell ref="Q1330:R1330"/>
    <mergeCell ref="S1330:V1330"/>
    <mergeCell ref="X1330:AA1330"/>
    <mergeCell ref="AB1330:AD1330"/>
    <mergeCell ref="B1330:D1330"/>
    <mergeCell ref="E1330:I1330"/>
    <mergeCell ref="J1330:M1330"/>
    <mergeCell ref="N1330:P1330"/>
    <mergeCell ref="AE1328:AG1328"/>
    <mergeCell ref="B1329:D1329"/>
    <mergeCell ref="E1329:I1329"/>
    <mergeCell ref="J1329:M1329"/>
    <mergeCell ref="N1329:P1329"/>
    <mergeCell ref="Q1329:R1329"/>
    <mergeCell ref="S1329:V1329"/>
    <mergeCell ref="X1329:AA1329"/>
    <mergeCell ref="AB1329:AD1329"/>
    <mergeCell ref="AE1329:AG1329"/>
    <mergeCell ref="Q1328:R1328"/>
    <mergeCell ref="S1328:V1328"/>
    <mergeCell ref="X1328:AA1328"/>
    <mergeCell ref="AB1328:AD1328"/>
    <mergeCell ref="B1328:D1328"/>
    <mergeCell ref="E1328:I1328"/>
    <mergeCell ref="J1328:M1328"/>
    <mergeCell ref="N1328:P1328"/>
    <mergeCell ref="AE1326:AG1326"/>
    <mergeCell ref="B1327:D1327"/>
    <mergeCell ref="E1327:I1327"/>
    <mergeCell ref="J1327:M1327"/>
    <mergeCell ref="N1327:P1327"/>
    <mergeCell ref="Q1327:R1327"/>
    <mergeCell ref="S1327:V1327"/>
    <mergeCell ref="X1327:AA1327"/>
    <mergeCell ref="AB1327:AD1327"/>
    <mergeCell ref="AE1327:AG1327"/>
    <mergeCell ref="Q1326:R1326"/>
    <mergeCell ref="S1326:V1326"/>
    <mergeCell ref="X1326:AA1326"/>
    <mergeCell ref="AB1326:AD1326"/>
    <mergeCell ref="B1326:D1326"/>
    <mergeCell ref="E1326:I1326"/>
    <mergeCell ref="J1326:M1326"/>
    <mergeCell ref="N1326:P1326"/>
    <mergeCell ref="AE1324:AG1324"/>
    <mergeCell ref="B1325:D1325"/>
    <mergeCell ref="E1325:I1325"/>
    <mergeCell ref="J1325:M1325"/>
    <mergeCell ref="N1325:P1325"/>
    <mergeCell ref="Q1325:R1325"/>
    <mergeCell ref="S1325:V1325"/>
    <mergeCell ref="X1325:AA1325"/>
    <mergeCell ref="AB1325:AD1325"/>
    <mergeCell ref="AE1325:AG1325"/>
    <mergeCell ref="Q1324:R1324"/>
    <mergeCell ref="S1324:V1324"/>
    <mergeCell ref="X1324:AA1324"/>
    <mergeCell ref="AB1324:AD1324"/>
    <mergeCell ref="B1324:D1324"/>
    <mergeCell ref="E1324:I1324"/>
    <mergeCell ref="J1324:M1324"/>
    <mergeCell ref="N1324:P1324"/>
    <mergeCell ref="AE1322:AG1322"/>
    <mergeCell ref="B1323:D1323"/>
    <mergeCell ref="E1323:I1323"/>
    <mergeCell ref="J1323:M1323"/>
    <mergeCell ref="N1323:P1323"/>
    <mergeCell ref="Q1323:R1323"/>
    <mergeCell ref="S1323:V1323"/>
    <mergeCell ref="X1323:AA1323"/>
    <mergeCell ref="AB1323:AD1323"/>
    <mergeCell ref="AE1323:AG1323"/>
    <mergeCell ref="Q1322:R1322"/>
    <mergeCell ref="S1322:V1322"/>
    <mergeCell ref="X1322:AA1322"/>
    <mergeCell ref="AB1322:AD1322"/>
    <mergeCell ref="B1322:D1322"/>
    <mergeCell ref="E1322:I1322"/>
    <mergeCell ref="J1322:M1322"/>
    <mergeCell ref="N1322:P1322"/>
    <mergeCell ref="AE1320:AG1320"/>
    <mergeCell ref="B1321:D1321"/>
    <mergeCell ref="E1321:I1321"/>
    <mergeCell ref="J1321:M1321"/>
    <mergeCell ref="N1321:P1321"/>
    <mergeCell ref="Q1321:R1321"/>
    <mergeCell ref="S1321:V1321"/>
    <mergeCell ref="X1321:AA1321"/>
    <mergeCell ref="AB1321:AD1321"/>
    <mergeCell ref="AE1321:AG1321"/>
    <mergeCell ref="Q1320:R1320"/>
    <mergeCell ref="S1320:V1320"/>
    <mergeCell ref="X1320:AA1320"/>
    <mergeCell ref="AB1320:AD1320"/>
    <mergeCell ref="B1320:D1320"/>
    <mergeCell ref="E1320:I1320"/>
    <mergeCell ref="J1320:M1320"/>
    <mergeCell ref="N1320:P1320"/>
    <mergeCell ref="AE1318:AG1318"/>
    <mergeCell ref="B1319:D1319"/>
    <mergeCell ref="E1319:I1319"/>
    <mergeCell ref="J1319:M1319"/>
    <mergeCell ref="N1319:P1319"/>
    <mergeCell ref="Q1319:R1319"/>
    <mergeCell ref="S1319:V1319"/>
    <mergeCell ref="X1319:AA1319"/>
    <mergeCell ref="AB1319:AD1319"/>
    <mergeCell ref="AE1319:AG1319"/>
    <mergeCell ref="Q1318:R1318"/>
    <mergeCell ref="S1318:V1318"/>
    <mergeCell ref="X1318:AA1318"/>
    <mergeCell ref="AB1318:AD1318"/>
    <mergeCell ref="B1318:D1318"/>
    <mergeCell ref="E1318:I1318"/>
    <mergeCell ref="J1318:M1318"/>
    <mergeCell ref="N1318:P1318"/>
    <mergeCell ref="AE1316:AG1316"/>
    <mergeCell ref="B1317:D1317"/>
    <mergeCell ref="E1317:I1317"/>
    <mergeCell ref="J1317:M1317"/>
    <mergeCell ref="N1317:P1317"/>
    <mergeCell ref="Q1317:R1317"/>
    <mergeCell ref="S1317:V1317"/>
    <mergeCell ref="X1317:AA1317"/>
    <mergeCell ref="AB1317:AD1317"/>
    <mergeCell ref="AE1317:AG1317"/>
    <mergeCell ref="Q1316:R1316"/>
    <mergeCell ref="S1316:V1316"/>
    <mergeCell ref="X1316:AA1316"/>
    <mergeCell ref="AB1316:AD1316"/>
    <mergeCell ref="B1316:D1316"/>
    <mergeCell ref="E1316:I1316"/>
    <mergeCell ref="J1316:M1316"/>
    <mergeCell ref="N1316:P1316"/>
    <mergeCell ref="AE1314:AG1314"/>
    <mergeCell ref="B1315:D1315"/>
    <mergeCell ref="E1315:I1315"/>
    <mergeCell ref="J1315:M1315"/>
    <mergeCell ref="N1315:P1315"/>
    <mergeCell ref="Q1315:R1315"/>
    <mergeCell ref="S1315:V1315"/>
    <mergeCell ref="X1315:AA1315"/>
    <mergeCell ref="AB1315:AD1315"/>
    <mergeCell ref="AE1315:AG1315"/>
    <mergeCell ref="Q1314:R1314"/>
    <mergeCell ref="S1314:V1314"/>
    <mergeCell ref="X1314:AA1314"/>
    <mergeCell ref="AB1314:AD1314"/>
    <mergeCell ref="B1314:D1314"/>
    <mergeCell ref="E1314:I1314"/>
    <mergeCell ref="J1314:M1314"/>
    <mergeCell ref="N1314:P1314"/>
    <mergeCell ref="AE1312:AG1312"/>
    <mergeCell ref="B1313:D1313"/>
    <mergeCell ref="E1313:I1313"/>
    <mergeCell ref="J1313:M1313"/>
    <mergeCell ref="N1313:P1313"/>
    <mergeCell ref="Q1313:R1313"/>
    <mergeCell ref="S1313:V1313"/>
    <mergeCell ref="X1313:AA1313"/>
    <mergeCell ref="AB1313:AD1313"/>
    <mergeCell ref="AE1313:AG1313"/>
    <mergeCell ref="Q1312:R1312"/>
    <mergeCell ref="S1312:V1312"/>
    <mergeCell ref="X1312:AA1312"/>
    <mergeCell ref="AB1312:AD1312"/>
    <mergeCell ref="B1312:D1312"/>
    <mergeCell ref="E1312:I1312"/>
    <mergeCell ref="J1312:M1312"/>
    <mergeCell ref="N1312:P1312"/>
    <mergeCell ref="AE1310:AG1310"/>
    <mergeCell ref="B1311:D1311"/>
    <mergeCell ref="E1311:I1311"/>
    <mergeCell ref="J1311:M1311"/>
    <mergeCell ref="N1311:P1311"/>
    <mergeCell ref="Q1311:R1311"/>
    <mergeCell ref="S1311:V1311"/>
    <mergeCell ref="X1311:AA1311"/>
    <mergeCell ref="AB1311:AD1311"/>
    <mergeCell ref="AE1311:AG1311"/>
    <mergeCell ref="Q1310:R1310"/>
    <mergeCell ref="S1310:V1310"/>
    <mergeCell ref="X1310:AA1310"/>
    <mergeCell ref="AB1310:AD1310"/>
    <mergeCell ref="B1310:D1310"/>
    <mergeCell ref="E1310:I1310"/>
    <mergeCell ref="J1310:M1310"/>
    <mergeCell ref="N1310:P1310"/>
    <mergeCell ref="AE1308:AG1308"/>
    <mergeCell ref="B1309:D1309"/>
    <mergeCell ref="E1309:I1309"/>
    <mergeCell ref="J1309:M1309"/>
    <mergeCell ref="N1309:P1309"/>
    <mergeCell ref="Q1309:R1309"/>
    <mergeCell ref="S1309:V1309"/>
    <mergeCell ref="X1309:AA1309"/>
    <mergeCell ref="AB1309:AD1309"/>
    <mergeCell ref="AE1309:AG1309"/>
    <mergeCell ref="Q1308:R1308"/>
    <mergeCell ref="S1308:V1308"/>
    <mergeCell ref="X1308:AA1308"/>
    <mergeCell ref="AB1308:AD1308"/>
    <mergeCell ref="B1308:D1308"/>
    <mergeCell ref="E1308:I1308"/>
    <mergeCell ref="J1308:M1308"/>
    <mergeCell ref="N1308:P1308"/>
    <mergeCell ref="AE1306:AG1306"/>
    <mergeCell ref="B1307:D1307"/>
    <mergeCell ref="E1307:I1307"/>
    <mergeCell ref="J1307:M1307"/>
    <mergeCell ref="N1307:P1307"/>
    <mergeCell ref="Q1307:R1307"/>
    <mergeCell ref="S1307:V1307"/>
    <mergeCell ref="X1307:AA1307"/>
    <mergeCell ref="AB1307:AD1307"/>
    <mergeCell ref="AE1307:AG1307"/>
    <mergeCell ref="Q1306:R1306"/>
    <mergeCell ref="S1306:V1306"/>
    <mergeCell ref="X1306:AA1306"/>
    <mergeCell ref="AB1306:AD1306"/>
    <mergeCell ref="B1306:D1306"/>
    <mergeCell ref="E1306:I1306"/>
    <mergeCell ref="J1306:M1306"/>
    <mergeCell ref="N1306:P1306"/>
    <mergeCell ref="AE1304:AG1304"/>
    <mergeCell ref="B1305:D1305"/>
    <mergeCell ref="E1305:I1305"/>
    <mergeCell ref="J1305:M1305"/>
    <mergeCell ref="N1305:P1305"/>
    <mergeCell ref="Q1305:R1305"/>
    <mergeCell ref="S1305:V1305"/>
    <mergeCell ref="X1305:AA1305"/>
    <mergeCell ref="AB1305:AD1305"/>
    <mergeCell ref="AE1305:AG1305"/>
    <mergeCell ref="Q1304:R1304"/>
    <mergeCell ref="S1304:V1304"/>
    <mergeCell ref="X1304:AA1304"/>
    <mergeCell ref="AB1304:AD1304"/>
    <mergeCell ref="B1304:D1304"/>
    <mergeCell ref="E1304:I1304"/>
    <mergeCell ref="J1304:M1304"/>
    <mergeCell ref="N1304:P1304"/>
    <mergeCell ref="AE1302:AG1302"/>
    <mergeCell ref="B1303:D1303"/>
    <mergeCell ref="E1303:I1303"/>
    <mergeCell ref="J1303:M1303"/>
    <mergeCell ref="N1303:P1303"/>
    <mergeCell ref="Q1303:R1303"/>
    <mergeCell ref="S1303:V1303"/>
    <mergeCell ref="X1303:AA1303"/>
    <mergeCell ref="AB1303:AD1303"/>
    <mergeCell ref="AE1303:AG1303"/>
    <mergeCell ref="Q1302:R1302"/>
    <mergeCell ref="S1302:V1302"/>
    <mergeCell ref="X1302:AA1302"/>
    <mergeCell ref="AB1302:AD1302"/>
    <mergeCell ref="B1302:D1302"/>
    <mergeCell ref="E1302:I1302"/>
    <mergeCell ref="J1302:M1302"/>
    <mergeCell ref="N1302:P1302"/>
    <mergeCell ref="AE1300:AG1300"/>
    <mergeCell ref="B1301:D1301"/>
    <mergeCell ref="E1301:I1301"/>
    <mergeCell ref="J1301:M1301"/>
    <mergeCell ref="N1301:P1301"/>
    <mergeCell ref="Q1301:R1301"/>
    <mergeCell ref="S1301:V1301"/>
    <mergeCell ref="X1301:AA1301"/>
    <mergeCell ref="AB1301:AD1301"/>
    <mergeCell ref="AE1301:AG1301"/>
    <mergeCell ref="Q1300:R1300"/>
    <mergeCell ref="S1300:V1300"/>
    <mergeCell ref="X1300:AA1300"/>
    <mergeCell ref="AB1300:AD1300"/>
    <mergeCell ref="B1300:D1300"/>
    <mergeCell ref="E1300:I1300"/>
    <mergeCell ref="J1300:M1300"/>
    <mergeCell ref="N1300:P1300"/>
    <mergeCell ref="AE1298:AG1298"/>
    <mergeCell ref="B1299:D1299"/>
    <mergeCell ref="E1299:I1299"/>
    <mergeCell ref="J1299:M1299"/>
    <mergeCell ref="N1299:P1299"/>
    <mergeCell ref="Q1299:R1299"/>
    <mergeCell ref="S1299:V1299"/>
    <mergeCell ref="X1299:AA1299"/>
    <mergeCell ref="AB1299:AD1299"/>
    <mergeCell ref="AE1299:AG1299"/>
    <mergeCell ref="Q1298:R1298"/>
    <mergeCell ref="S1298:V1298"/>
    <mergeCell ref="X1298:AA1298"/>
    <mergeCell ref="AB1298:AD1298"/>
    <mergeCell ref="B1298:D1298"/>
    <mergeCell ref="E1298:I1298"/>
    <mergeCell ref="J1298:M1298"/>
    <mergeCell ref="N1298:P1298"/>
    <mergeCell ref="AE1296:AG1296"/>
    <mergeCell ref="B1297:D1297"/>
    <mergeCell ref="E1297:I1297"/>
    <mergeCell ref="J1297:M1297"/>
    <mergeCell ref="N1297:P1297"/>
    <mergeCell ref="Q1297:R1297"/>
    <mergeCell ref="S1297:V1297"/>
    <mergeCell ref="X1297:AA1297"/>
    <mergeCell ref="AB1297:AD1297"/>
    <mergeCell ref="AE1297:AG1297"/>
    <mergeCell ref="Q1296:R1296"/>
    <mergeCell ref="S1296:V1296"/>
    <mergeCell ref="X1296:AA1296"/>
    <mergeCell ref="AB1296:AD1296"/>
    <mergeCell ref="B1296:D1296"/>
    <mergeCell ref="E1296:I1296"/>
    <mergeCell ref="J1296:M1296"/>
    <mergeCell ref="N1296:P1296"/>
    <mergeCell ref="AE1294:AG1294"/>
    <mergeCell ref="B1295:D1295"/>
    <mergeCell ref="E1295:I1295"/>
    <mergeCell ref="J1295:M1295"/>
    <mergeCell ref="N1295:P1295"/>
    <mergeCell ref="Q1295:R1295"/>
    <mergeCell ref="S1295:V1295"/>
    <mergeCell ref="X1295:AA1295"/>
    <mergeCell ref="AB1295:AD1295"/>
    <mergeCell ref="AE1295:AG1295"/>
    <mergeCell ref="Q1294:R1294"/>
    <mergeCell ref="S1294:V1294"/>
    <mergeCell ref="X1294:AA1294"/>
    <mergeCell ref="AB1294:AD1294"/>
    <mergeCell ref="B1294:D1294"/>
    <mergeCell ref="E1294:I1294"/>
    <mergeCell ref="J1294:M1294"/>
    <mergeCell ref="N1294:P1294"/>
    <mergeCell ref="AE1292:AG1292"/>
    <mergeCell ref="B1293:D1293"/>
    <mergeCell ref="E1293:I1293"/>
    <mergeCell ref="J1293:M1293"/>
    <mergeCell ref="N1293:P1293"/>
    <mergeCell ref="Q1293:R1293"/>
    <mergeCell ref="S1293:V1293"/>
    <mergeCell ref="X1293:AA1293"/>
    <mergeCell ref="AB1293:AD1293"/>
    <mergeCell ref="AE1293:AG1293"/>
    <mergeCell ref="Q1292:R1292"/>
    <mergeCell ref="S1292:V1292"/>
    <mergeCell ref="X1292:AA1292"/>
    <mergeCell ref="AB1292:AD1292"/>
    <mergeCell ref="B1292:D1292"/>
    <mergeCell ref="E1292:I1292"/>
    <mergeCell ref="J1292:M1292"/>
    <mergeCell ref="N1292:P1292"/>
    <mergeCell ref="AE1290:AG1290"/>
    <mergeCell ref="B1291:D1291"/>
    <mergeCell ref="E1291:I1291"/>
    <mergeCell ref="J1291:M1291"/>
    <mergeCell ref="N1291:P1291"/>
    <mergeCell ref="Q1291:R1291"/>
    <mergeCell ref="S1291:V1291"/>
    <mergeCell ref="X1291:AA1291"/>
    <mergeCell ref="AB1291:AD1291"/>
    <mergeCell ref="AE1291:AG1291"/>
    <mergeCell ref="Q1290:R1290"/>
    <mergeCell ref="S1290:V1290"/>
    <mergeCell ref="X1290:AA1290"/>
    <mergeCell ref="AB1290:AD1290"/>
    <mergeCell ref="B1290:D1290"/>
    <mergeCell ref="E1290:I1290"/>
    <mergeCell ref="J1290:M1290"/>
    <mergeCell ref="N1290:P1290"/>
    <mergeCell ref="AE1288:AG1288"/>
    <mergeCell ref="B1289:D1289"/>
    <mergeCell ref="E1289:I1289"/>
    <mergeCell ref="J1289:M1289"/>
    <mergeCell ref="N1289:P1289"/>
    <mergeCell ref="Q1289:R1289"/>
    <mergeCell ref="S1289:V1289"/>
    <mergeCell ref="X1289:AA1289"/>
    <mergeCell ref="AB1289:AD1289"/>
    <mergeCell ref="AE1289:AG1289"/>
    <mergeCell ref="Q1288:R1288"/>
    <mergeCell ref="S1288:V1288"/>
    <mergeCell ref="X1288:AA1288"/>
    <mergeCell ref="AB1288:AD1288"/>
    <mergeCell ref="B1288:D1288"/>
    <mergeCell ref="E1288:I1288"/>
    <mergeCell ref="J1288:M1288"/>
    <mergeCell ref="N1288:P1288"/>
    <mergeCell ref="AE1286:AG1286"/>
    <mergeCell ref="B1287:D1287"/>
    <mergeCell ref="E1287:I1287"/>
    <mergeCell ref="J1287:M1287"/>
    <mergeCell ref="N1287:P1287"/>
    <mergeCell ref="Q1287:R1287"/>
    <mergeCell ref="S1287:V1287"/>
    <mergeCell ref="X1287:AA1287"/>
    <mergeCell ref="AB1287:AD1287"/>
    <mergeCell ref="AE1287:AG1287"/>
    <mergeCell ref="Q1286:R1286"/>
    <mergeCell ref="S1286:V1286"/>
    <mergeCell ref="X1286:AA1286"/>
    <mergeCell ref="AB1286:AD1286"/>
    <mergeCell ref="B1286:D1286"/>
    <mergeCell ref="E1286:I1286"/>
    <mergeCell ref="J1286:M1286"/>
    <mergeCell ref="N1286:P1286"/>
    <mergeCell ref="AE1284:AG1284"/>
    <mergeCell ref="B1285:D1285"/>
    <mergeCell ref="E1285:I1285"/>
    <mergeCell ref="J1285:M1285"/>
    <mergeCell ref="N1285:P1285"/>
    <mergeCell ref="Q1285:R1285"/>
    <mergeCell ref="S1285:V1285"/>
    <mergeCell ref="X1285:AA1285"/>
    <mergeCell ref="AB1285:AD1285"/>
    <mergeCell ref="AE1285:AG1285"/>
    <mergeCell ref="Q1284:R1284"/>
    <mergeCell ref="S1284:V1284"/>
    <mergeCell ref="X1284:AA1284"/>
    <mergeCell ref="AB1284:AD1284"/>
    <mergeCell ref="B1284:D1284"/>
    <mergeCell ref="E1284:I1284"/>
    <mergeCell ref="J1284:M1284"/>
    <mergeCell ref="N1284:P1284"/>
    <mergeCell ref="AE1282:AG1282"/>
    <mergeCell ref="B1283:D1283"/>
    <mergeCell ref="E1283:I1283"/>
    <mergeCell ref="J1283:M1283"/>
    <mergeCell ref="N1283:P1283"/>
    <mergeCell ref="Q1283:R1283"/>
    <mergeCell ref="S1283:V1283"/>
    <mergeCell ref="X1283:AA1283"/>
    <mergeCell ref="AB1283:AD1283"/>
    <mergeCell ref="AE1283:AG1283"/>
    <mergeCell ref="Q1282:R1282"/>
    <mergeCell ref="S1282:V1282"/>
    <mergeCell ref="X1282:AA1282"/>
    <mergeCell ref="AB1282:AD1282"/>
    <mergeCell ref="B1282:D1282"/>
    <mergeCell ref="E1282:I1282"/>
    <mergeCell ref="J1282:M1282"/>
    <mergeCell ref="N1282:P1282"/>
    <mergeCell ref="AE1280:AG1280"/>
    <mergeCell ref="B1281:D1281"/>
    <mergeCell ref="E1281:I1281"/>
    <mergeCell ref="J1281:M1281"/>
    <mergeCell ref="N1281:P1281"/>
    <mergeCell ref="Q1281:R1281"/>
    <mergeCell ref="S1281:V1281"/>
    <mergeCell ref="X1281:AA1281"/>
    <mergeCell ref="AB1281:AD1281"/>
    <mergeCell ref="AE1281:AG1281"/>
    <mergeCell ref="Q1280:R1280"/>
    <mergeCell ref="S1280:V1280"/>
    <mergeCell ref="X1280:AA1280"/>
    <mergeCell ref="AB1280:AD1280"/>
    <mergeCell ref="B1280:D1280"/>
    <mergeCell ref="E1280:I1280"/>
    <mergeCell ref="J1280:M1280"/>
    <mergeCell ref="N1280:P1280"/>
    <mergeCell ref="AE1278:AG1278"/>
    <mergeCell ref="B1279:D1279"/>
    <mergeCell ref="E1279:I1279"/>
    <mergeCell ref="J1279:M1279"/>
    <mergeCell ref="N1279:P1279"/>
    <mergeCell ref="Q1279:R1279"/>
    <mergeCell ref="S1279:V1279"/>
    <mergeCell ref="X1279:AA1279"/>
    <mergeCell ref="AB1279:AD1279"/>
    <mergeCell ref="AE1279:AG1279"/>
    <mergeCell ref="Q1278:R1278"/>
    <mergeCell ref="S1278:V1278"/>
    <mergeCell ref="X1278:AA1278"/>
    <mergeCell ref="AB1278:AD1278"/>
    <mergeCell ref="B1278:D1278"/>
    <mergeCell ref="E1278:I1278"/>
    <mergeCell ref="J1278:M1278"/>
    <mergeCell ref="N1278:P1278"/>
    <mergeCell ref="AE1276:AG1276"/>
    <mergeCell ref="B1277:D1277"/>
    <mergeCell ref="E1277:I1277"/>
    <mergeCell ref="J1277:M1277"/>
    <mergeCell ref="N1277:P1277"/>
    <mergeCell ref="Q1277:R1277"/>
    <mergeCell ref="S1277:V1277"/>
    <mergeCell ref="X1277:AA1277"/>
    <mergeCell ref="AB1277:AD1277"/>
    <mergeCell ref="AE1277:AG1277"/>
    <mergeCell ref="Q1276:R1276"/>
    <mergeCell ref="S1276:V1276"/>
    <mergeCell ref="X1276:AA1276"/>
    <mergeCell ref="AB1276:AD1276"/>
    <mergeCell ref="B1276:D1276"/>
    <mergeCell ref="E1276:I1276"/>
    <mergeCell ref="J1276:M1276"/>
    <mergeCell ref="N1276:P1276"/>
    <mergeCell ref="AE1274:AG1274"/>
    <mergeCell ref="B1275:D1275"/>
    <mergeCell ref="E1275:I1275"/>
    <mergeCell ref="J1275:M1275"/>
    <mergeCell ref="N1275:P1275"/>
    <mergeCell ref="Q1275:R1275"/>
    <mergeCell ref="S1275:V1275"/>
    <mergeCell ref="X1275:AA1275"/>
    <mergeCell ref="AB1275:AD1275"/>
    <mergeCell ref="AE1275:AG1275"/>
    <mergeCell ref="Q1274:R1274"/>
    <mergeCell ref="S1274:V1274"/>
    <mergeCell ref="X1274:AA1274"/>
    <mergeCell ref="AB1274:AD1274"/>
    <mergeCell ref="B1274:D1274"/>
    <mergeCell ref="E1274:I1274"/>
    <mergeCell ref="J1274:M1274"/>
    <mergeCell ref="N1274:P1274"/>
    <mergeCell ref="AE1272:AG1272"/>
    <mergeCell ref="B1273:D1273"/>
    <mergeCell ref="E1273:I1273"/>
    <mergeCell ref="J1273:M1273"/>
    <mergeCell ref="N1273:P1273"/>
    <mergeCell ref="Q1273:R1273"/>
    <mergeCell ref="S1273:V1273"/>
    <mergeCell ref="X1273:AA1273"/>
    <mergeCell ref="AB1273:AD1273"/>
    <mergeCell ref="AE1273:AG1273"/>
    <mergeCell ref="Q1272:R1272"/>
    <mergeCell ref="S1272:V1272"/>
    <mergeCell ref="X1272:AA1272"/>
    <mergeCell ref="AB1272:AD1272"/>
    <mergeCell ref="B1272:D1272"/>
    <mergeCell ref="E1272:I1272"/>
    <mergeCell ref="J1272:M1272"/>
    <mergeCell ref="N1272:P1272"/>
    <mergeCell ref="AE1270:AG1270"/>
    <mergeCell ref="B1271:D1271"/>
    <mergeCell ref="E1271:I1271"/>
    <mergeCell ref="J1271:M1271"/>
    <mergeCell ref="N1271:P1271"/>
    <mergeCell ref="Q1271:R1271"/>
    <mergeCell ref="S1271:V1271"/>
    <mergeCell ref="X1271:AA1271"/>
    <mergeCell ref="AB1271:AD1271"/>
    <mergeCell ref="AE1271:AG1271"/>
    <mergeCell ref="Q1270:R1270"/>
    <mergeCell ref="S1270:V1270"/>
    <mergeCell ref="X1270:AA1270"/>
    <mergeCell ref="AB1270:AD1270"/>
    <mergeCell ref="B1270:D1270"/>
    <mergeCell ref="E1270:I1270"/>
    <mergeCell ref="J1270:M1270"/>
    <mergeCell ref="N1270:P1270"/>
    <mergeCell ref="AE1268:AG1268"/>
    <mergeCell ref="B1269:D1269"/>
    <mergeCell ref="E1269:I1269"/>
    <mergeCell ref="J1269:M1269"/>
    <mergeCell ref="N1269:P1269"/>
    <mergeCell ref="Q1269:R1269"/>
    <mergeCell ref="S1269:V1269"/>
    <mergeCell ref="X1269:AA1269"/>
    <mergeCell ref="AB1269:AD1269"/>
    <mergeCell ref="AE1269:AG1269"/>
    <mergeCell ref="Q1268:R1268"/>
    <mergeCell ref="S1268:V1268"/>
    <mergeCell ref="X1268:AA1268"/>
    <mergeCell ref="AB1268:AD1268"/>
    <mergeCell ref="B1268:D1268"/>
    <mergeCell ref="E1268:I1268"/>
    <mergeCell ref="J1268:M1268"/>
    <mergeCell ref="N1268:P1268"/>
    <mergeCell ref="AE1266:AG1266"/>
    <mergeCell ref="B1267:D1267"/>
    <mergeCell ref="E1267:I1267"/>
    <mergeCell ref="J1267:M1267"/>
    <mergeCell ref="N1267:P1267"/>
    <mergeCell ref="Q1267:R1267"/>
    <mergeCell ref="S1267:V1267"/>
    <mergeCell ref="X1267:AA1267"/>
    <mergeCell ref="AB1267:AD1267"/>
    <mergeCell ref="AE1267:AG1267"/>
    <mergeCell ref="Q1266:R1266"/>
    <mergeCell ref="S1266:V1266"/>
    <mergeCell ref="X1266:AA1266"/>
    <mergeCell ref="AB1266:AD1266"/>
    <mergeCell ref="B1266:D1266"/>
    <mergeCell ref="E1266:I1266"/>
    <mergeCell ref="J1266:M1266"/>
    <mergeCell ref="N1266:P1266"/>
    <mergeCell ref="AE1264:AG1264"/>
    <mergeCell ref="B1265:D1265"/>
    <mergeCell ref="E1265:I1265"/>
    <mergeCell ref="J1265:M1265"/>
    <mergeCell ref="N1265:P1265"/>
    <mergeCell ref="Q1265:R1265"/>
    <mergeCell ref="S1265:V1265"/>
    <mergeCell ref="X1265:AA1265"/>
    <mergeCell ref="AB1265:AD1265"/>
    <mergeCell ref="AE1265:AG1265"/>
    <mergeCell ref="Q1264:R1264"/>
    <mergeCell ref="S1264:V1264"/>
    <mergeCell ref="X1264:AA1264"/>
    <mergeCell ref="AB1264:AD1264"/>
    <mergeCell ref="B1264:D1264"/>
    <mergeCell ref="E1264:I1264"/>
    <mergeCell ref="J1264:M1264"/>
    <mergeCell ref="N1264:P1264"/>
    <mergeCell ref="AE1262:AG1262"/>
    <mergeCell ref="B1263:D1263"/>
    <mergeCell ref="E1263:I1263"/>
    <mergeCell ref="J1263:M1263"/>
    <mergeCell ref="N1263:P1263"/>
    <mergeCell ref="Q1263:R1263"/>
    <mergeCell ref="S1263:V1263"/>
    <mergeCell ref="X1263:AA1263"/>
    <mergeCell ref="AB1263:AD1263"/>
    <mergeCell ref="AE1263:AG1263"/>
    <mergeCell ref="Q1262:R1262"/>
    <mergeCell ref="S1262:V1262"/>
    <mergeCell ref="X1262:AA1262"/>
    <mergeCell ref="AB1262:AD1262"/>
    <mergeCell ref="B1262:D1262"/>
    <mergeCell ref="E1262:I1262"/>
    <mergeCell ref="J1262:M1262"/>
    <mergeCell ref="N1262:P1262"/>
    <mergeCell ref="AE1260:AG1260"/>
    <mergeCell ref="B1261:D1261"/>
    <mergeCell ref="E1261:I1261"/>
    <mergeCell ref="J1261:M1261"/>
    <mergeCell ref="N1261:P1261"/>
    <mergeCell ref="Q1261:R1261"/>
    <mergeCell ref="S1261:V1261"/>
    <mergeCell ref="X1261:AA1261"/>
    <mergeCell ref="AB1261:AD1261"/>
    <mergeCell ref="AE1261:AG1261"/>
    <mergeCell ref="Q1260:R1260"/>
    <mergeCell ref="S1260:V1260"/>
    <mergeCell ref="X1260:AA1260"/>
    <mergeCell ref="AB1260:AD1260"/>
    <mergeCell ref="B1260:D1260"/>
    <mergeCell ref="E1260:I1260"/>
    <mergeCell ref="J1260:M1260"/>
    <mergeCell ref="N1260:P1260"/>
    <mergeCell ref="AE1258:AG1258"/>
    <mergeCell ref="B1259:D1259"/>
    <mergeCell ref="E1259:I1259"/>
    <mergeCell ref="J1259:M1259"/>
    <mergeCell ref="N1259:P1259"/>
    <mergeCell ref="Q1259:R1259"/>
    <mergeCell ref="S1259:V1259"/>
    <mergeCell ref="X1259:AA1259"/>
    <mergeCell ref="AB1259:AD1259"/>
    <mergeCell ref="AE1259:AG1259"/>
    <mergeCell ref="Q1258:R1258"/>
    <mergeCell ref="S1258:V1258"/>
    <mergeCell ref="X1258:AA1258"/>
    <mergeCell ref="AB1258:AD1258"/>
    <mergeCell ref="B1258:D1258"/>
    <mergeCell ref="E1258:I1258"/>
    <mergeCell ref="J1258:M1258"/>
    <mergeCell ref="N1258:P1258"/>
    <mergeCell ref="AE1256:AG1256"/>
    <mergeCell ref="B1257:D1257"/>
    <mergeCell ref="E1257:I1257"/>
    <mergeCell ref="J1257:M1257"/>
    <mergeCell ref="N1257:P1257"/>
    <mergeCell ref="Q1257:R1257"/>
    <mergeCell ref="S1257:V1257"/>
    <mergeCell ref="X1257:AA1257"/>
    <mergeCell ref="AB1257:AD1257"/>
    <mergeCell ref="AE1257:AG1257"/>
    <mergeCell ref="Q1256:R1256"/>
    <mergeCell ref="S1256:V1256"/>
    <mergeCell ref="X1256:AA1256"/>
    <mergeCell ref="AB1256:AD1256"/>
    <mergeCell ref="B1256:D1256"/>
    <mergeCell ref="E1256:I1256"/>
    <mergeCell ref="J1256:M1256"/>
    <mergeCell ref="N1256:P1256"/>
    <mergeCell ref="AE1254:AG1254"/>
    <mergeCell ref="B1255:D1255"/>
    <mergeCell ref="E1255:I1255"/>
    <mergeCell ref="J1255:M1255"/>
    <mergeCell ref="N1255:P1255"/>
    <mergeCell ref="Q1255:R1255"/>
    <mergeCell ref="S1255:V1255"/>
    <mergeCell ref="X1255:AA1255"/>
    <mergeCell ref="AB1255:AD1255"/>
    <mergeCell ref="AE1255:AG1255"/>
    <mergeCell ref="Q1254:R1254"/>
    <mergeCell ref="S1254:V1254"/>
    <mergeCell ref="X1254:AA1254"/>
    <mergeCell ref="AB1254:AD1254"/>
    <mergeCell ref="B1254:D1254"/>
    <mergeCell ref="E1254:I1254"/>
    <mergeCell ref="J1254:M1254"/>
    <mergeCell ref="N1254:P1254"/>
    <mergeCell ref="AE1252:AG1252"/>
    <mergeCell ref="B1253:D1253"/>
    <mergeCell ref="E1253:I1253"/>
    <mergeCell ref="J1253:M1253"/>
    <mergeCell ref="N1253:P1253"/>
    <mergeCell ref="Q1253:R1253"/>
    <mergeCell ref="S1253:V1253"/>
    <mergeCell ref="X1253:AA1253"/>
    <mergeCell ref="AB1253:AD1253"/>
    <mergeCell ref="AE1253:AG1253"/>
    <mergeCell ref="Q1252:R1252"/>
    <mergeCell ref="S1252:V1252"/>
    <mergeCell ref="X1252:AA1252"/>
    <mergeCell ref="AB1252:AD1252"/>
    <mergeCell ref="B1252:D1252"/>
    <mergeCell ref="E1252:I1252"/>
    <mergeCell ref="J1252:M1252"/>
    <mergeCell ref="N1252:P1252"/>
    <mergeCell ref="AE1250:AG1250"/>
    <mergeCell ref="B1251:D1251"/>
    <mergeCell ref="E1251:I1251"/>
    <mergeCell ref="J1251:M1251"/>
    <mergeCell ref="N1251:P1251"/>
    <mergeCell ref="Q1251:R1251"/>
    <mergeCell ref="S1251:V1251"/>
    <mergeCell ref="X1251:AA1251"/>
    <mergeCell ref="AB1251:AD1251"/>
    <mergeCell ref="AE1251:AG1251"/>
    <mergeCell ref="Q1250:R1250"/>
    <mergeCell ref="S1250:V1250"/>
    <mergeCell ref="X1250:AA1250"/>
    <mergeCell ref="AB1250:AD1250"/>
    <mergeCell ref="B1250:D1250"/>
    <mergeCell ref="E1250:I1250"/>
    <mergeCell ref="J1250:M1250"/>
    <mergeCell ref="N1250:P1250"/>
    <mergeCell ref="AE1248:AG1248"/>
    <mergeCell ref="B1249:D1249"/>
    <mergeCell ref="E1249:I1249"/>
    <mergeCell ref="J1249:M1249"/>
    <mergeCell ref="N1249:P1249"/>
    <mergeCell ref="Q1249:R1249"/>
    <mergeCell ref="S1249:V1249"/>
    <mergeCell ref="X1249:AA1249"/>
    <mergeCell ref="AB1249:AD1249"/>
    <mergeCell ref="AE1249:AG1249"/>
    <mergeCell ref="Q1248:R1248"/>
    <mergeCell ref="S1248:V1248"/>
    <mergeCell ref="X1248:AA1248"/>
    <mergeCell ref="AB1248:AD1248"/>
    <mergeCell ref="B1248:D1248"/>
    <mergeCell ref="E1248:I1248"/>
    <mergeCell ref="J1248:M1248"/>
    <mergeCell ref="N1248:P1248"/>
    <mergeCell ref="AE1246:AG1246"/>
    <mergeCell ref="B1247:D1247"/>
    <mergeCell ref="E1247:I1247"/>
    <mergeCell ref="J1247:M1247"/>
    <mergeCell ref="N1247:P1247"/>
    <mergeCell ref="Q1247:R1247"/>
    <mergeCell ref="S1247:V1247"/>
    <mergeCell ref="X1247:AA1247"/>
    <mergeCell ref="AB1247:AD1247"/>
    <mergeCell ref="AE1247:AG1247"/>
    <mergeCell ref="Q1246:R1246"/>
    <mergeCell ref="S1246:V1246"/>
    <mergeCell ref="X1246:AA1246"/>
    <mergeCell ref="AB1246:AD1246"/>
    <mergeCell ref="B1246:D1246"/>
    <mergeCell ref="E1246:I1246"/>
    <mergeCell ref="J1246:M1246"/>
    <mergeCell ref="N1246:P1246"/>
    <mergeCell ref="AE1244:AG1244"/>
    <mergeCell ref="B1245:D1245"/>
    <mergeCell ref="E1245:I1245"/>
    <mergeCell ref="J1245:M1245"/>
    <mergeCell ref="N1245:P1245"/>
    <mergeCell ref="Q1245:R1245"/>
    <mergeCell ref="S1245:V1245"/>
    <mergeCell ref="X1245:AA1245"/>
    <mergeCell ref="AB1245:AD1245"/>
    <mergeCell ref="AE1245:AG1245"/>
    <mergeCell ref="Q1244:R1244"/>
    <mergeCell ref="S1244:V1244"/>
    <mergeCell ref="X1244:AA1244"/>
    <mergeCell ref="AB1244:AD1244"/>
    <mergeCell ref="B1244:D1244"/>
    <mergeCell ref="E1244:I1244"/>
    <mergeCell ref="J1244:M1244"/>
    <mergeCell ref="N1244:P1244"/>
    <mergeCell ref="AE1242:AG1242"/>
    <mergeCell ref="B1243:D1243"/>
    <mergeCell ref="E1243:I1243"/>
    <mergeCell ref="J1243:M1243"/>
    <mergeCell ref="N1243:P1243"/>
    <mergeCell ref="Q1243:R1243"/>
    <mergeCell ref="S1243:V1243"/>
    <mergeCell ref="X1243:AA1243"/>
    <mergeCell ref="AB1243:AD1243"/>
    <mergeCell ref="AE1243:AG1243"/>
    <mergeCell ref="Q1242:R1242"/>
    <mergeCell ref="S1242:V1242"/>
    <mergeCell ref="X1242:AA1242"/>
    <mergeCell ref="AB1242:AD1242"/>
    <mergeCell ref="B1242:D1242"/>
    <mergeCell ref="E1242:I1242"/>
    <mergeCell ref="J1242:M1242"/>
    <mergeCell ref="N1242:P1242"/>
    <mergeCell ref="AE1240:AG1240"/>
    <mergeCell ref="B1241:D1241"/>
    <mergeCell ref="E1241:I1241"/>
    <mergeCell ref="J1241:M1241"/>
    <mergeCell ref="N1241:P1241"/>
    <mergeCell ref="Q1241:R1241"/>
    <mergeCell ref="S1241:V1241"/>
    <mergeCell ref="X1241:AA1241"/>
    <mergeCell ref="AB1241:AD1241"/>
    <mergeCell ref="AE1241:AG1241"/>
    <mergeCell ref="Q1240:R1240"/>
    <mergeCell ref="S1240:V1240"/>
    <mergeCell ref="X1240:AA1240"/>
    <mergeCell ref="AB1240:AD1240"/>
    <mergeCell ref="B1240:D1240"/>
    <mergeCell ref="E1240:I1240"/>
    <mergeCell ref="J1240:M1240"/>
    <mergeCell ref="N1240:P1240"/>
    <mergeCell ref="AE1238:AG1238"/>
    <mergeCell ref="B1239:D1239"/>
    <mergeCell ref="E1239:I1239"/>
    <mergeCell ref="J1239:M1239"/>
    <mergeCell ref="N1239:P1239"/>
    <mergeCell ref="Q1239:R1239"/>
    <mergeCell ref="S1239:V1239"/>
    <mergeCell ref="X1239:AA1239"/>
    <mergeCell ref="AB1239:AD1239"/>
    <mergeCell ref="AE1239:AG1239"/>
    <mergeCell ref="Q1238:R1238"/>
    <mergeCell ref="S1238:V1238"/>
    <mergeCell ref="X1238:AA1238"/>
    <mergeCell ref="AB1238:AD1238"/>
    <mergeCell ref="B1238:D1238"/>
    <mergeCell ref="E1238:I1238"/>
    <mergeCell ref="J1238:M1238"/>
    <mergeCell ref="N1238:P1238"/>
    <mergeCell ref="AE1236:AG1236"/>
    <mergeCell ref="B1237:D1237"/>
    <mergeCell ref="E1237:I1237"/>
    <mergeCell ref="J1237:M1237"/>
    <mergeCell ref="N1237:P1237"/>
    <mergeCell ref="Q1237:R1237"/>
    <mergeCell ref="S1237:V1237"/>
    <mergeCell ref="X1237:AA1237"/>
    <mergeCell ref="AB1237:AD1237"/>
    <mergeCell ref="AE1237:AG1237"/>
    <mergeCell ref="Q1236:R1236"/>
    <mergeCell ref="S1236:V1236"/>
    <mergeCell ref="X1236:AA1236"/>
    <mergeCell ref="AB1236:AD1236"/>
    <mergeCell ref="B1236:D1236"/>
    <mergeCell ref="E1236:I1236"/>
    <mergeCell ref="J1236:M1236"/>
    <mergeCell ref="N1236:P1236"/>
    <mergeCell ref="AE1234:AG1234"/>
    <mergeCell ref="B1235:D1235"/>
    <mergeCell ref="E1235:I1235"/>
    <mergeCell ref="J1235:M1235"/>
    <mergeCell ref="N1235:P1235"/>
    <mergeCell ref="Q1235:R1235"/>
    <mergeCell ref="S1235:V1235"/>
    <mergeCell ref="X1235:AA1235"/>
    <mergeCell ref="AB1235:AD1235"/>
    <mergeCell ref="AE1235:AG1235"/>
    <mergeCell ref="Q1234:R1234"/>
    <mergeCell ref="S1234:V1234"/>
    <mergeCell ref="X1234:AA1234"/>
    <mergeCell ref="AB1234:AD1234"/>
    <mergeCell ref="B1234:D1234"/>
    <mergeCell ref="E1234:I1234"/>
    <mergeCell ref="J1234:M1234"/>
    <mergeCell ref="N1234:P1234"/>
    <mergeCell ref="AE1232:AG1232"/>
    <mergeCell ref="B1233:D1233"/>
    <mergeCell ref="E1233:I1233"/>
    <mergeCell ref="J1233:M1233"/>
    <mergeCell ref="N1233:P1233"/>
    <mergeCell ref="Q1233:R1233"/>
    <mergeCell ref="S1233:V1233"/>
    <mergeCell ref="X1233:AA1233"/>
    <mergeCell ref="AB1233:AD1233"/>
    <mergeCell ref="AE1233:AG1233"/>
    <mergeCell ref="Q1232:R1232"/>
    <mergeCell ref="S1232:V1232"/>
    <mergeCell ref="X1232:AA1232"/>
    <mergeCell ref="AB1232:AD1232"/>
    <mergeCell ref="B1232:D1232"/>
    <mergeCell ref="E1232:I1232"/>
    <mergeCell ref="J1232:M1232"/>
    <mergeCell ref="N1232:P1232"/>
    <mergeCell ref="AE1230:AG1230"/>
    <mergeCell ref="B1231:D1231"/>
    <mergeCell ref="E1231:I1231"/>
    <mergeCell ref="J1231:M1231"/>
    <mergeCell ref="N1231:P1231"/>
    <mergeCell ref="Q1231:R1231"/>
    <mergeCell ref="S1231:V1231"/>
    <mergeCell ref="X1231:AA1231"/>
    <mergeCell ref="AB1231:AD1231"/>
    <mergeCell ref="AE1231:AG1231"/>
    <mergeCell ref="Q1230:R1230"/>
    <mergeCell ref="S1230:V1230"/>
    <mergeCell ref="X1230:AA1230"/>
    <mergeCell ref="AB1230:AD1230"/>
    <mergeCell ref="B1230:D1230"/>
    <mergeCell ref="E1230:I1230"/>
    <mergeCell ref="J1230:M1230"/>
    <mergeCell ref="N1230:P1230"/>
    <mergeCell ref="AE1228:AG1228"/>
    <mergeCell ref="B1229:D1229"/>
    <mergeCell ref="E1229:I1229"/>
    <mergeCell ref="J1229:M1229"/>
    <mergeCell ref="N1229:P1229"/>
    <mergeCell ref="Q1229:R1229"/>
    <mergeCell ref="S1229:V1229"/>
    <mergeCell ref="X1229:AA1229"/>
    <mergeCell ref="AB1229:AD1229"/>
    <mergeCell ref="AE1229:AG1229"/>
    <mergeCell ref="Q1228:R1228"/>
    <mergeCell ref="S1228:V1228"/>
    <mergeCell ref="X1228:AA1228"/>
    <mergeCell ref="AB1228:AD1228"/>
    <mergeCell ref="B1228:D1228"/>
    <mergeCell ref="E1228:I1228"/>
    <mergeCell ref="J1228:M1228"/>
    <mergeCell ref="N1228:P1228"/>
    <mergeCell ref="AE1226:AG1226"/>
    <mergeCell ref="B1227:D1227"/>
    <mergeCell ref="E1227:I1227"/>
    <mergeCell ref="J1227:M1227"/>
    <mergeCell ref="N1227:P1227"/>
    <mergeCell ref="Q1227:R1227"/>
    <mergeCell ref="S1227:V1227"/>
    <mergeCell ref="X1227:AA1227"/>
    <mergeCell ref="AB1227:AD1227"/>
    <mergeCell ref="AE1227:AG1227"/>
    <mergeCell ref="Q1226:R1226"/>
    <mergeCell ref="S1226:V1226"/>
    <mergeCell ref="X1226:AA1226"/>
    <mergeCell ref="AB1226:AD1226"/>
    <mergeCell ref="B1226:D1226"/>
    <mergeCell ref="E1226:I1226"/>
    <mergeCell ref="J1226:M1226"/>
    <mergeCell ref="N1226:P1226"/>
    <mergeCell ref="AE1224:AG1224"/>
    <mergeCell ref="B1225:D1225"/>
    <mergeCell ref="E1225:I1225"/>
    <mergeCell ref="J1225:M1225"/>
    <mergeCell ref="N1225:P1225"/>
    <mergeCell ref="Q1225:R1225"/>
    <mergeCell ref="S1225:V1225"/>
    <mergeCell ref="X1225:AA1225"/>
    <mergeCell ref="AB1225:AD1225"/>
    <mergeCell ref="AE1225:AG1225"/>
    <mergeCell ref="Q1224:R1224"/>
    <mergeCell ref="S1224:V1224"/>
    <mergeCell ref="X1224:AA1224"/>
    <mergeCell ref="AB1224:AD1224"/>
    <mergeCell ref="B1224:D1224"/>
    <mergeCell ref="E1224:I1224"/>
    <mergeCell ref="J1224:M1224"/>
    <mergeCell ref="N1224:P1224"/>
    <mergeCell ref="AE1222:AG1222"/>
    <mergeCell ref="B1223:D1223"/>
    <mergeCell ref="E1223:I1223"/>
    <mergeCell ref="J1223:M1223"/>
    <mergeCell ref="N1223:P1223"/>
    <mergeCell ref="Q1223:R1223"/>
    <mergeCell ref="S1223:V1223"/>
    <mergeCell ref="X1223:AA1223"/>
    <mergeCell ref="AB1223:AD1223"/>
    <mergeCell ref="AE1223:AG1223"/>
    <mergeCell ref="Q1222:R1222"/>
    <mergeCell ref="S1222:V1222"/>
    <mergeCell ref="X1222:AA1222"/>
    <mergeCell ref="AB1222:AD1222"/>
    <mergeCell ref="B1222:D1222"/>
    <mergeCell ref="E1222:I1222"/>
    <mergeCell ref="J1222:M1222"/>
    <mergeCell ref="N1222:P1222"/>
    <mergeCell ref="AE1220:AG1220"/>
    <mergeCell ref="B1221:D1221"/>
    <mergeCell ref="E1221:I1221"/>
    <mergeCell ref="J1221:M1221"/>
    <mergeCell ref="N1221:P1221"/>
    <mergeCell ref="Q1221:R1221"/>
    <mergeCell ref="S1221:V1221"/>
    <mergeCell ref="X1221:AA1221"/>
    <mergeCell ref="AB1221:AD1221"/>
    <mergeCell ref="AE1221:AG1221"/>
    <mergeCell ref="Q1220:R1220"/>
    <mergeCell ref="S1220:V1220"/>
    <mergeCell ref="X1220:AA1220"/>
    <mergeCell ref="AB1220:AD1220"/>
    <mergeCell ref="B1220:D1220"/>
    <mergeCell ref="E1220:I1220"/>
    <mergeCell ref="J1220:M1220"/>
    <mergeCell ref="N1220:P1220"/>
    <mergeCell ref="AE1218:AG1218"/>
    <mergeCell ref="B1219:D1219"/>
    <mergeCell ref="E1219:I1219"/>
    <mergeCell ref="J1219:M1219"/>
    <mergeCell ref="N1219:P1219"/>
    <mergeCell ref="Q1219:R1219"/>
    <mergeCell ref="S1219:V1219"/>
    <mergeCell ref="X1219:AA1219"/>
    <mergeCell ref="AB1219:AD1219"/>
    <mergeCell ref="AE1219:AG1219"/>
    <mergeCell ref="Q1218:R1218"/>
    <mergeCell ref="S1218:V1218"/>
    <mergeCell ref="X1218:AA1218"/>
    <mergeCell ref="AB1218:AD1218"/>
    <mergeCell ref="B1218:D1218"/>
    <mergeCell ref="E1218:I1218"/>
    <mergeCell ref="J1218:M1218"/>
    <mergeCell ref="N1218:P1218"/>
    <mergeCell ref="AE1216:AG1216"/>
    <mergeCell ref="B1217:D1217"/>
    <mergeCell ref="E1217:I1217"/>
    <mergeCell ref="J1217:M1217"/>
    <mergeCell ref="N1217:P1217"/>
    <mergeCell ref="Q1217:R1217"/>
    <mergeCell ref="S1217:V1217"/>
    <mergeCell ref="X1217:AA1217"/>
    <mergeCell ref="AB1217:AD1217"/>
    <mergeCell ref="AE1217:AG1217"/>
    <mergeCell ref="Q1216:R1216"/>
    <mergeCell ref="S1216:V1216"/>
    <mergeCell ref="X1216:AA1216"/>
    <mergeCell ref="AB1216:AD1216"/>
    <mergeCell ref="B1216:D1216"/>
    <mergeCell ref="E1216:I1216"/>
    <mergeCell ref="J1216:M1216"/>
    <mergeCell ref="N1216:P1216"/>
    <mergeCell ref="AE1214:AG1214"/>
    <mergeCell ref="B1215:D1215"/>
    <mergeCell ref="E1215:I1215"/>
    <mergeCell ref="J1215:M1215"/>
    <mergeCell ref="N1215:P1215"/>
    <mergeCell ref="Q1215:R1215"/>
    <mergeCell ref="S1215:V1215"/>
    <mergeCell ref="X1215:AA1215"/>
    <mergeCell ref="AB1215:AD1215"/>
    <mergeCell ref="AE1215:AG1215"/>
    <mergeCell ref="Q1214:R1214"/>
    <mergeCell ref="S1214:V1214"/>
    <mergeCell ref="X1214:AA1214"/>
    <mergeCell ref="AB1214:AD1214"/>
    <mergeCell ref="B1214:D1214"/>
    <mergeCell ref="E1214:I1214"/>
    <mergeCell ref="J1214:M1214"/>
    <mergeCell ref="N1214:P1214"/>
    <mergeCell ref="AE1212:AG1212"/>
    <mergeCell ref="B1213:D1213"/>
    <mergeCell ref="E1213:I1213"/>
    <mergeCell ref="J1213:M1213"/>
    <mergeCell ref="N1213:P1213"/>
    <mergeCell ref="Q1213:R1213"/>
    <mergeCell ref="S1213:V1213"/>
    <mergeCell ref="X1213:AA1213"/>
    <mergeCell ref="AB1213:AD1213"/>
    <mergeCell ref="AE1213:AG1213"/>
    <mergeCell ref="Q1212:R1212"/>
    <mergeCell ref="S1212:V1212"/>
    <mergeCell ref="X1212:AA1212"/>
    <mergeCell ref="AB1212:AD1212"/>
    <mergeCell ref="B1212:D1212"/>
    <mergeCell ref="E1212:I1212"/>
    <mergeCell ref="J1212:M1212"/>
    <mergeCell ref="N1212:P1212"/>
    <mergeCell ref="AE1210:AG1210"/>
    <mergeCell ref="B1211:D1211"/>
    <mergeCell ref="E1211:I1211"/>
    <mergeCell ref="J1211:M1211"/>
    <mergeCell ref="N1211:P1211"/>
    <mergeCell ref="Q1211:R1211"/>
    <mergeCell ref="S1211:V1211"/>
    <mergeCell ref="X1211:AA1211"/>
    <mergeCell ref="AB1211:AD1211"/>
    <mergeCell ref="AE1211:AG1211"/>
    <mergeCell ref="Q1210:R1210"/>
    <mergeCell ref="S1210:V1210"/>
    <mergeCell ref="X1210:AA1210"/>
    <mergeCell ref="AB1210:AD1210"/>
    <mergeCell ref="B1210:D1210"/>
    <mergeCell ref="E1210:I1210"/>
    <mergeCell ref="J1210:M1210"/>
    <mergeCell ref="N1210:P1210"/>
    <mergeCell ref="AE1208:AG1208"/>
    <mergeCell ref="B1209:D1209"/>
    <mergeCell ref="E1209:I1209"/>
    <mergeCell ref="J1209:M1209"/>
    <mergeCell ref="N1209:P1209"/>
    <mergeCell ref="Q1209:R1209"/>
    <mergeCell ref="S1209:V1209"/>
    <mergeCell ref="X1209:AA1209"/>
    <mergeCell ref="AB1209:AD1209"/>
    <mergeCell ref="AE1209:AG1209"/>
    <mergeCell ref="Q1208:R1208"/>
    <mergeCell ref="S1208:V1208"/>
    <mergeCell ref="X1208:AA1208"/>
    <mergeCell ref="AB1208:AD1208"/>
    <mergeCell ref="B1208:D1208"/>
    <mergeCell ref="E1208:I1208"/>
    <mergeCell ref="J1208:M1208"/>
    <mergeCell ref="N1208:P1208"/>
    <mergeCell ref="AE1206:AG1206"/>
    <mergeCell ref="B1207:D1207"/>
    <mergeCell ref="E1207:I1207"/>
    <mergeCell ref="J1207:M1207"/>
    <mergeCell ref="N1207:P1207"/>
    <mergeCell ref="Q1207:R1207"/>
    <mergeCell ref="S1207:V1207"/>
    <mergeCell ref="X1207:AA1207"/>
    <mergeCell ref="AB1207:AD1207"/>
    <mergeCell ref="AE1207:AG1207"/>
    <mergeCell ref="Q1206:R1206"/>
    <mergeCell ref="S1206:V1206"/>
    <mergeCell ref="X1206:AA1206"/>
    <mergeCell ref="AB1206:AD1206"/>
    <mergeCell ref="B1206:D1206"/>
    <mergeCell ref="E1206:I1206"/>
    <mergeCell ref="J1206:M1206"/>
    <mergeCell ref="N1206:P1206"/>
    <mergeCell ref="AE1204:AG1204"/>
    <mergeCell ref="B1205:D1205"/>
    <mergeCell ref="E1205:I1205"/>
    <mergeCell ref="J1205:M1205"/>
    <mergeCell ref="N1205:P1205"/>
    <mergeCell ref="Q1205:R1205"/>
    <mergeCell ref="S1205:V1205"/>
    <mergeCell ref="X1205:AA1205"/>
    <mergeCell ref="AB1205:AD1205"/>
    <mergeCell ref="AE1205:AG1205"/>
    <mergeCell ref="Q1204:R1204"/>
    <mergeCell ref="S1204:V1204"/>
    <mergeCell ref="X1204:AA1204"/>
    <mergeCell ref="AB1204:AD1204"/>
    <mergeCell ref="B1204:D1204"/>
    <mergeCell ref="E1204:I1204"/>
    <mergeCell ref="J1204:M1204"/>
    <mergeCell ref="N1204:P1204"/>
    <mergeCell ref="AE1202:AG1202"/>
    <mergeCell ref="B1203:D1203"/>
    <mergeCell ref="E1203:I1203"/>
    <mergeCell ref="J1203:M1203"/>
    <mergeCell ref="N1203:P1203"/>
    <mergeCell ref="Q1203:R1203"/>
    <mergeCell ref="S1203:V1203"/>
    <mergeCell ref="X1203:AA1203"/>
    <mergeCell ref="AB1203:AD1203"/>
    <mergeCell ref="AE1203:AG1203"/>
    <mergeCell ref="Q1202:R1202"/>
    <mergeCell ref="S1202:V1202"/>
    <mergeCell ref="X1202:AA1202"/>
    <mergeCell ref="AB1202:AD1202"/>
    <mergeCell ref="B1202:D1202"/>
    <mergeCell ref="E1202:I1202"/>
    <mergeCell ref="J1202:M1202"/>
    <mergeCell ref="N1202:P1202"/>
    <mergeCell ref="AE1200:AG1200"/>
    <mergeCell ref="B1201:D1201"/>
    <mergeCell ref="E1201:I1201"/>
    <mergeCell ref="J1201:M1201"/>
    <mergeCell ref="N1201:P1201"/>
    <mergeCell ref="Q1201:R1201"/>
    <mergeCell ref="S1201:V1201"/>
    <mergeCell ref="X1201:AA1201"/>
    <mergeCell ref="AB1201:AD1201"/>
    <mergeCell ref="AE1201:AG1201"/>
    <mergeCell ref="Q1200:R1200"/>
    <mergeCell ref="S1200:V1200"/>
    <mergeCell ref="X1200:AA1200"/>
    <mergeCell ref="AB1200:AD1200"/>
    <mergeCell ref="B1200:D1200"/>
    <mergeCell ref="E1200:I1200"/>
    <mergeCell ref="J1200:M1200"/>
    <mergeCell ref="N1200:P1200"/>
    <mergeCell ref="AE1198:AG1198"/>
    <mergeCell ref="B1199:D1199"/>
    <mergeCell ref="E1199:I1199"/>
    <mergeCell ref="J1199:M1199"/>
    <mergeCell ref="N1199:P1199"/>
    <mergeCell ref="Q1199:R1199"/>
    <mergeCell ref="S1199:V1199"/>
    <mergeCell ref="X1199:AA1199"/>
    <mergeCell ref="AB1199:AD1199"/>
    <mergeCell ref="AE1199:AG1199"/>
    <mergeCell ref="Q1198:R1198"/>
    <mergeCell ref="S1198:V1198"/>
    <mergeCell ref="X1198:AA1198"/>
    <mergeCell ref="AB1198:AD1198"/>
    <mergeCell ref="B1198:D1198"/>
    <mergeCell ref="E1198:I1198"/>
    <mergeCell ref="J1198:M1198"/>
    <mergeCell ref="N1198:P1198"/>
    <mergeCell ref="AE1196:AG1196"/>
    <mergeCell ref="B1197:D1197"/>
    <mergeCell ref="E1197:I1197"/>
    <mergeCell ref="J1197:M1197"/>
    <mergeCell ref="N1197:P1197"/>
    <mergeCell ref="Q1197:R1197"/>
    <mergeCell ref="S1197:V1197"/>
    <mergeCell ref="X1197:AA1197"/>
    <mergeCell ref="AB1197:AD1197"/>
    <mergeCell ref="AE1197:AG1197"/>
    <mergeCell ref="Q1196:R1196"/>
    <mergeCell ref="S1196:V1196"/>
    <mergeCell ref="X1196:AA1196"/>
    <mergeCell ref="AB1196:AD1196"/>
    <mergeCell ref="B1196:D1196"/>
    <mergeCell ref="E1196:I1196"/>
    <mergeCell ref="J1196:M1196"/>
    <mergeCell ref="N1196:P1196"/>
    <mergeCell ref="AE1194:AG1194"/>
    <mergeCell ref="B1195:D1195"/>
    <mergeCell ref="E1195:I1195"/>
    <mergeCell ref="J1195:M1195"/>
    <mergeCell ref="N1195:P1195"/>
    <mergeCell ref="Q1195:R1195"/>
    <mergeCell ref="S1195:V1195"/>
    <mergeCell ref="X1195:AA1195"/>
    <mergeCell ref="AB1195:AD1195"/>
    <mergeCell ref="AE1195:AG1195"/>
    <mergeCell ref="Q1194:R1194"/>
    <mergeCell ref="S1194:V1194"/>
    <mergeCell ref="X1194:AA1194"/>
    <mergeCell ref="AB1194:AD1194"/>
    <mergeCell ref="B1194:D1194"/>
    <mergeCell ref="E1194:I1194"/>
    <mergeCell ref="J1194:M1194"/>
    <mergeCell ref="N1194:P1194"/>
    <mergeCell ref="AE1192:AG1192"/>
    <mergeCell ref="B1193:D1193"/>
    <mergeCell ref="E1193:I1193"/>
    <mergeCell ref="J1193:M1193"/>
    <mergeCell ref="N1193:P1193"/>
    <mergeCell ref="Q1193:R1193"/>
    <mergeCell ref="S1193:V1193"/>
    <mergeCell ref="X1193:AA1193"/>
    <mergeCell ref="AB1193:AD1193"/>
    <mergeCell ref="AE1193:AG1193"/>
    <mergeCell ref="Q1192:R1192"/>
    <mergeCell ref="S1192:V1192"/>
    <mergeCell ref="X1192:AA1192"/>
    <mergeCell ref="AB1192:AD1192"/>
    <mergeCell ref="B1192:D1192"/>
    <mergeCell ref="E1192:I1192"/>
    <mergeCell ref="J1192:M1192"/>
    <mergeCell ref="N1192:P1192"/>
    <mergeCell ref="AE1190:AG1190"/>
    <mergeCell ref="B1191:D1191"/>
    <mergeCell ref="E1191:I1191"/>
    <mergeCell ref="J1191:M1191"/>
    <mergeCell ref="N1191:P1191"/>
    <mergeCell ref="Q1191:R1191"/>
    <mergeCell ref="S1191:V1191"/>
    <mergeCell ref="X1191:AA1191"/>
    <mergeCell ref="AB1191:AD1191"/>
    <mergeCell ref="AE1191:AG1191"/>
    <mergeCell ref="Q1190:R1190"/>
    <mergeCell ref="S1190:V1190"/>
    <mergeCell ref="X1190:AA1190"/>
    <mergeCell ref="AB1190:AD1190"/>
    <mergeCell ref="B1190:D1190"/>
    <mergeCell ref="E1190:I1190"/>
    <mergeCell ref="J1190:M1190"/>
    <mergeCell ref="N1190:P1190"/>
    <mergeCell ref="AE1188:AG1188"/>
    <mergeCell ref="B1189:D1189"/>
    <mergeCell ref="E1189:I1189"/>
    <mergeCell ref="J1189:M1189"/>
    <mergeCell ref="N1189:P1189"/>
    <mergeCell ref="Q1189:R1189"/>
    <mergeCell ref="S1189:V1189"/>
    <mergeCell ref="X1189:AA1189"/>
    <mergeCell ref="AB1189:AD1189"/>
    <mergeCell ref="AE1189:AG1189"/>
    <mergeCell ref="Q1188:R1188"/>
    <mergeCell ref="S1188:V1188"/>
    <mergeCell ref="X1188:AA1188"/>
    <mergeCell ref="AB1188:AD1188"/>
    <mergeCell ref="B1188:D1188"/>
    <mergeCell ref="E1188:I1188"/>
    <mergeCell ref="J1188:M1188"/>
    <mergeCell ref="N1188:P1188"/>
    <mergeCell ref="AE1186:AG1186"/>
    <mergeCell ref="B1187:D1187"/>
    <mergeCell ref="E1187:I1187"/>
    <mergeCell ref="J1187:M1187"/>
    <mergeCell ref="N1187:P1187"/>
    <mergeCell ref="Q1187:R1187"/>
    <mergeCell ref="S1187:V1187"/>
    <mergeCell ref="X1187:AA1187"/>
    <mergeCell ref="AB1187:AD1187"/>
    <mergeCell ref="AE1187:AG1187"/>
    <mergeCell ref="Q1186:R1186"/>
    <mergeCell ref="S1186:V1186"/>
    <mergeCell ref="X1186:AA1186"/>
    <mergeCell ref="AB1186:AD1186"/>
    <mergeCell ref="B1186:D1186"/>
    <mergeCell ref="E1186:I1186"/>
    <mergeCell ref="J1186:M1186"/>
    <mergeCell ref="N1186:P1186"/>
    <mergeCell ref="AE1184:AG1184"/>
    <mergeCell ref="B1185:D1185"/>
    <mergeCell ref="E1185:I1185"/>
    <mergeCell ref="J1185:M1185"/>
    <mergeCell ref="N1185:P1185"/>
    <mergeCell ref="Q1185:R1185"/>
    <mergeCell ref="S1185:V1185"/>
    <mergeCell ref="X1185:AA1185"/>
    <mergeCell ref="AB1185:AD1185"/>
    <mergeCell ref="AE1185:AG1185"/>
    <mergeCell ref="Q1184:R1184"/>
    <mergeCell ref="S1184:V1184"/>
    <mergeCell ref="X1184:AA1184"/>
    <mergeCell ref="AB1184:AD1184"/>
    <mergeCell ref="B1184:D1184"/>
    <mergeCell ref="E1184:I1184"/>
    <mergeCell ref="J1184:M1184"/>
    <mergeCell ref="N1184:P1184"/>
    <mergeCell ref="AE1182:AG1182"/>
    <mergeCell ref="B1183:D1183"/>
    <mergeCell ref="E1183:I1183"/>
    <mergeCell ref="J1183:M1183"/>
    <mergeCell ref="N1183:P1183"/>
    <mergeCell ref="Q1183:R1183"/>
    <mergeCell ref="S1183:V1183"/>
    <mergeCell ref="X1183:AA1183"/>
    <mergeCell ref="AB1183:AD1183"/>
    <mergeCell ref="AE1183:AG1183"/>
    <mergeCell ref="Q1182:R1182"/>
    <mergeCell ref="S1182:V1182"/>
    <mergeCell ref="X1182:AA1182"/>
    <mergeCell ref="AB1182:AD1182"/>
    <mergeCell ref="B1182:D1182"/>
    <mergeCell ref="E1182:I1182"/>
    <mergeCell ref="J1182:M1182"/>
    <mergeCell ref="N1182:P1182"/>
    <mergeCell ref="AE1180:AG1180"/>
    <mergeCell ref="B1181:D1181"/>
    <mergeCell ref="E1181:I1181"/>
    <mergeCell ref="J1181:M1181"/>
    <mergeCell ref="N1181:P1181"/>
    <mergeCell ref="Q1181:R1181"/>
    <mergeCell ref="S1181:V1181"/>
    <mergeCell ref="X1181:AA1181"/>
    <mergeCell ref="AB1181:AD1181"/>
    <mergeCell ref="AE1181:AG1181"/>
    <mergeCell ref="Q1180:R1180"/>
    <mergeCell ref="S1180:V1180"/>
    <mergeCell ref="X1180:AA1180"/>
    <mergeCell ref="AB1180:AD1180"/>
    <mergeCell ref="B1180:D1180"/>
    <mergeCell ref="E1180:I1180"/>
    <mergeCell ref="J1180:M1180"/>
    <mergeCell ref="N1180:P1180"/>
    <mergeCell ref="AE1178:AG1178"/>
    <mergeCell ref="B1179:D1179"/>
    <mergeCell ref="E1179:I1179"/>
    <mergeCell ref="J1179:M1179"/>
    <mergeCell ref="N1179:P1179"/>
    <mergeCell ref="Q1179:R1179"/>
    <mergeCell ref="S1179:V1179"/>
    <mergeCell ref="X1179:AA1179"/>
    <mergeCell ref="AB1179:AD1179"/>
    <mergeCell ref="AE1179:AG1179"/>
    <mergeCell ref="Q1178:R1178"/>
    <mergeCell ref="S1178:V1178"/>
    <mergeCell ref="X1178:AA1178"/>
    <mergeCell ref="AB1178:AD1178"/>
    <mergeCell ref="B1178:D1178"/>
    <mergeCell ref="E1178:I1178"/>
    <mergeCell ref="J1178:M1178"/>
    <mergeCell ref="N1178:P1178"/>
    <mergeCell ref="AE1176:AG1176"/>
    <mergeCell ref="B1177:D1177"/>
    <mergeCell ref="E1177:I1177"/>
    <mergeCell ref="J1177:M1177"/>
    <mergeCell ref="N1177:P1177"/>
    <mergeCell ref="Q1177:R1177"/>
    <mergeCell ref="S1177:V1177"/>
    <mergeCell ref="X1177:AA1177"/>
    <mergeCell ref="AB1177:AD1177"/>
    <mergeCell ref="AE1177:AG1177"/>
    <mergeCell ref="Q1176:R1176"/>
    <mergeCell ref="S1176:V1176"/>
    <mergeCell ref="X1176:AA1176"/>
    <mergeCell ref="AB1176:AD1176"/>
    <mergeCell ref="B1176:D1176"/>
    <mergeCell ref="E1176:I1176"/>
    <mergeCell ref="J1176:M1176"/>
    <mergeCell ref="N1176:P1176"/>
    <mergeCell ref="AE1174:AG1174"/>
    <mergeCell ref="B1175:D1175"/>
    <mergeCell ref="E1175:I1175"/>
    <mergeCell ref="J1175:M1175"/>
    <mergeCell ref="N1175:P1175"/>
    <mergeCell ref="Q1175:R1175"/>
    <mergeCell ref="S1175:V1175"/>
    <mergeCell ref="X1175:AA1175"/>
    <mergeCell ref="AB1175:AD1175"/>
    <mergeCell ref="AE1175:AG1175"/>
    <mergeCell ref="Q1174:R1174"/>
    <mergeCell ref="S1174:V1174"/>
    <mergeCell ref="X1174:AA1174"/>
    <mergeCell ref="AB1174:AD1174"/>
    <mergeCell ref="B1174:D1174"/>
    <mergeCell ref="E1174:I1174"/>
    <mergeCell ref="J1174:M1174"/>
    <mergeCell ref="N1174:P1174"/>
    <mergeCell ref="AE1172:AG1172"/>
    <mergeCell ref="B1173:D1173"/>
    <mergeCell ref="E1173:I1173"/>
    <mergeCell ref="J1173:M1173"/>
    <mergeCell ref="N1173:P1173"/>
    <mergeCell ref="Q1173:R1173"/>
    <mergeCell ref="S1173:V1173"/>
    <mergeCell ref="X1173:AA1173"/>
    <mergeCell ref="AB1173:AD1173"/>
    <mergeCell ref="AE1173:AG1173"/>
    <mergeCell ref="Q1172:R1172"/>
    <mergeCell ref="S1172:V1172"/>
    <mergeCell ref="X1172:AA1172"/>
    <mergeCell ref="AB1172:AD1172"/>
    <mergeCell ref="B1172:D1172"/>
    <mergeCell ref="E1172:I1172"/>
    <mergeCell ref="J1172:M1172"/>
    <mergeCell ref="N1172:P1172"/>
    <mergeCell ref="AE1170:AG1170"/>
    <mergeCell ref="B1171:D1171"/>
    <mergeCell ref="E1171:I1171"/>
    <mergeCell ref="J1171:M1171"/>
    <mergeCell ref="N1171:P1171"/>
    <mergeCell ref="Q1171:R1171"/>
    <mergeCell ref="S1171:V1171"/>
    <mergeCell ref="X1171:AA1171"/>
    <mergeCell ref="AB1171:AD1171"/>
    <mergeCell ref="AE1171:AG1171"/>
    <mergeCell ref="Q1170:R1170"/>
    <mergeCell ref="S1170:V1170"/>
    <mergeCell ref="X1170:AA1170"/>
    <mergeCell ref="AB1170:AD1170"/>
    <mergeCell ref="B1170:D1170"/>
    <mergeCell ref="E1170:I1170"/>
    <mergeCell ref="J1170:M1170"/>
    <mergeCell ref="N1170:P1170"/>
    <mergeCell ref="AE1168:AG1168"/>
    <mergeCell ref="B1169:D1169"/>
    <mergeCell ref="E1169:I1169"/>
    <mergeCell ref="J1169:M1169"/>
    <mergeCell ref="N1169:P1169"/>
    <mergeCell ref="Q1169:R1169"/>
    <mergeCell ref="S1169:V1169"/>
    <mergeCell ref="X1169:AA1169"/>
    <mergeCell ref="AB1169:AD1169"/>
    <mergeCell ref="AE1169:AG1169"/>
    <mergeCell ref="Q1168:R1168"/>
    <mergeCell ref="S1168:V1168"/>
    <mergeCell ref="X1168:AA1168"/>
    <mergeCell ref="AB1168:AD1168"/>
    <mergeCell ref="B1168:D1168"/>
    <mergeCell ref="E1168:I1168"/>
    <mergeCell ref="J1168:M1168"/>
    <mergeCell ref="N1168:P1168"/>
    <mergeCell ref="AE1166:AG1166"/>
    <mergeCell ref="B1167:D1167"/>
    <mergeCell ref="E1167:I1167"/>
    <mergeCell ref="J1167:M1167"/>
    <mergeCell ref="N1167:P1167"/>
    <mergeCell ref="Q1167:R1167"/>
    <mergeCell ref="S1167:V1167"/>
    <mergeCell ref="X1167:AA1167"/>
    <mergeCell ref="AB1167:AD1167"/>
    <mergeCell ref="AE1167:AG1167"/>
    <mergeCell ref="Q1166:R1166"/>
    <mergeCell ref="S1166:V1166"/>
    <mergeCell ref="X1166:AA1166"/>
    <mergeCell ref="AB1166:AD1166"/>
    <mergeCell ref="B1166:D1166"/>
    <mergeCell ref="E1166:I1166"/>
    <mergeCell ref="J1166:M1166"/>
    <mergeCell ref="N1166:P1166"/>
    <mergeCell ref="AE1164:AG1164"/>
    <mergeCell ref="B1165:D1165"/>
    <mergeCell ref="E1165:I1165"/>
    <mergeCell ref="J1165:M1165"/>
    <mergeCell ref="N1165:P1165"/>
    <mergeCell ref="Q1165:R1165"/>
    <mergeCell ref="S1165:V1165"/>
    <mergeCell ref="X1165:AA1165"/>
    <mergeCell ref="AB1165:AD1165"/>
    <mergeCell ref="AE1165:AG1165"/>
    <mergeCell ref="Q1164:R1164"/>
    <mergeCell ref="S1164:V1164"/>
    <mergeCell ref="X1164:AA1164"/>
    <mergeCell ref="AB1164:AD1164"/>
    <mergeCell ref="B1164:D1164"/>
    <mergeCell ref="E1164:I1164"/>
    <mergeCell ref="J1164:M1164"/>
    <mergeCell ref="N1164:P1164"/>
    <mergeCell ref="AE1162:AG1162"/>
    <mergeCell ref="B1163:D1163"/>
    <mergeCell ref="E1163:I1163"/>
    <mergeCell ref="J1163:M1163"/>
    <mergeCell ref="N1163:P1163"/>
    <mergeCell ref="Q1163:R1163"/>
    <mergeCell ref="S1163:V1163"/>
    <mergeCell ref="X1163:AA1163"/>
    <mergeCell ref="AB1163:AD1163"/>
    <mergeCell ref="AE1163:AG1163"/>
    <mergeCell ref="Q1162:R1162"/>
    <mergeCell ref="S1162:V1162"/>
    <mergeCell ref="X1162:AA1162"/>
    <mergeCell ref="AB1162:AD1162"/>
    <mergeCell ref="B1162:D1162"/>
    <mergeCell ref="E1162:I1162"/>
    <mergeCell ref="J1162:M1162"/>
    <mergeCell ref="N1162:P1162"/>
    <mergeCell ref="AE1160:AG1160"/>
    <mergeCell ref="B1161:D1161"/>
    <mergeCell ref="E1161:I1161"/>
    <mergeCell ref="J1161:M1161"/>
    <mergeCell ref="N1161:P1161"/>
    <mergeCell ref="Q1161:R1161"/>
    <mergeCell ref="S1161:V1161"/>
    <mergeCell ref="X1161:AA1161"/>
    <mergeCell ref="AB1161:AD1161"/>
    <mergeCell ref="AE1161:AG1161"/>
    <mergeCell ref="Q1160:R1160"/>
    <mergeCell ref="S1160:V1160"/>
    <mergeCell ref="X1160:AA1160"/>
    <mergeCell ref="AB1160:AD1160"/>
    <mergeCell ref="B1160:D1160"/>
    <mergeCell ref="E1160:I1160"/>
    <mergeCell ref="J1160:M1160"/>
    <mergeCell ref="N1160:P1160"/>
    <mergeCell ref="AE1158:AG1158"/>
    <mergeCell ref="B1159:D1159"/>
    <mergeCell ref="E1159:I1159"/>
    <mergeCell ref="J1159:M1159"/>
    <mergeCell ref="N1159:P1159"/>
    <mergeCell ref="Q1159:R1159"/>
    <mergeCell ref="S1159:V1159"/>
    <mergeCell ref="X1159:AA1159"/>
    <mergeCell ref="AB1159:AD1159"/>
    <mergeCell ref="AE1159:AG1159"/>
    <mergeCell ref="Q1158:R1158"/>
    <mergeCell ref="S1158:V1158"/>
    <mergeCell ref="X1158:AA1158"/>
    <mergeCell ref="AB1158:AD1158"/>
    <mergeCell ref="B1158:D1158"/>
    <mergeCell ref="E1158:I1158"/>
    <mergeCell ref="J1158:M1158"/>
    <mergeCell ref="N1158:P1158"/>
    <mergeCell ref="AE1156:AG1156"/>
    <mergeCell ref="B1157:D1157"/>
    <mergeCell ref="E1157:I1157"/>
    <mergeCell ref="J1157:M1157"/>
    <mergeCell ref="N1157:P1157"/>
    <mergeCell ref="Q1157:R1157"/>
    <mergeCell ref="S1157:V1157"/>
    <mergeCell ref="X1157:AA1157"/>
    <mergeCell ref="AB1157:AD1157"/>
    <mergeCell ref="AE1157:AG1157"/>
    <mergeCell ref="Q1156:R1156"/>
    <mergeCell ref="S1156:V1156"/>
    <mergeCell ref="X1156:AA1156"/>
    <mergeCell ref="AB1156:AD1156"/>
    <mergeCell ref="B1156:D1156"/>
    <mergeCell ref="E1156:I1156"/>
    <mergeCell ref="J1156:M1156"/>
    <mergeCell ref="N1156:P1156"/>
    <mergeCell ref="AE1154:AG1154"/>
    <mergeCell ref="B1155:D1155"/>
    <mergeCell ref="E1155:I1155"/>
    <mergeCell ref="J1155:M1155"/>
    <mergeCell ref="N1155:P1155"/>
    <mergeCell ref="Q1155:R1155"/>
    <mergeCell ref="S1155:V1155"/>
    <mergeCell ref="X1155:AA1155"/>
    <mergeCell ref="AB1155:AD1155"/>
    <mergeCell ref="AE1155:AG1155"/>
    <mergeCell ref="Q1154:R1154"/>
    <mergeCell ref="S1154:V1154"/>
    <mergeCell ref="X1154:AA1154"/>
    <mergeCell ref="AB1154:AD1154"/>
    <mergeCell ref="B1154:D1154"/>
    <mergeCell ref="E1154:I1154"/>
    <mergeCell ref="J1154:M1154"/>
    <mergeCell ref="N1154:P1154"/>
    <mergeCell ref="AE1152:AG1152"/>
    <mergeCell ref="B1153:D1153"/>
    <mergeCell ref="E1153:I1153"/>
    <mergeCell ref="J1153:M1153"/>
    <mergeCell ref="N1153:P1153"/>
    <mergeCell ref="Q1153:R1153"/>
    <mergeCell ref="S1153:V1153"/>
    <mergeCell ref="X1153:AA1153"/>
    <mergeCell ref="AB1153:AD1153"/>
    <mergeCell ref="AE1153:AG1153"/>
    <mergeCell ref="Q1152:R1152"/>
    <mergeCell ref="S1152:V1152"/>
    <mergeCell ref="X1152:AA1152"/>
    <mergeCell ref="AB1152:AD1152"/>
    <mergeCell ref="B1152:D1152"/>
    <mergeCell ref="E1152:I1152"/>
    <mergeCell ref="J1152:M1152"/>
    <mergeCell ref="N1152:P1152"/>
    <mergeCell ref="AE1150:AG1150"/>
    <mergeCell ref="B1151:D1151"/>
    <mergeCell ref="E1151:I1151"/>
    <mergeCell ref="J1151:M1151"/>
    <mergeCell ref="N1151:P1151"/>
    <mergeCell ref="Q1151:R1151"/>
    <mergeCell ref="S1151:V1151"/>
    <mergeCell ref="X1151:AA1151"/>
    <mergeCell ref="AB1151:AD1151"/>
    <mergeCell ref="AE1151:AG1151"/>
    <mergeCell ref="Q1150:R1150"/>
    <mergeCell ref="S1150:V1150"/>
    <mergeCell ref="X1150:AA1150"/>
    <mergeCell ref="AB1150:AD1150"/>
    <mergeCell ref="B1150:D1150"/>
    <mergeCell ref="E1150:I1150"/>
    <mergeCell ref="J1150:M1150"/>
    <mergeCell ref="N1150:P1150"/>
    <mergeCell ref="AE1148:AG1148"/>
    <mergeCell ref="B1149:D1149"/>
    <mergeCell ref="E1149:I1149"/>
    <mergeCell ref="J1149:M1149"/>
    <mergeCell ref="N1149:P1149"/>
    <mergeCell ref="Q1149:R1149"/>
    <mergeCell ref="S1149:V1149"/>
    <mergeCell ref="X1149:AA1149"/>
    <mergeCell ref="AB1149:AD1149"/>
    <mergeCell ref="AE1149:AG1149"/>
    <mergeCell ref="Q1148:R1148"/>
    <mergeCell ref="S1148:V1148"/>
    <mergeCell ref="X1148:AA1148"/>
    <mergeCell ref="AB1148:AD1148"/>
    <mergeCell ref="B1148:D1148"/>
    <mergeCell ref="E1148:I1148"/>
    <mergeCell ref="J1148:M1148"/>
    <mergeCell ref="N1148:P1148"/>
    <mergeCell ref="AE1146:AG1146"/>
    <mergeCell ref="B1147:D1147"/>
    <mergeCell ref="E1147:I1147"/>
    <mergeCell ref="J1147:M1147"/>
    <mergeCell ref="N1147:P1147"/>
    <mergeCell ref="Q1147:R1147"/>
    <mergeCell ref="S1147:V1147"/>
    <mergeCell ref="X1147:AA1147"/>
    <mergeCell ref="AB1147:AD1147"/>
    <mergeCell ref="AE1147:AG1147"/>
    <mergeCell ref="Q1146:R1146"/>
    <mergeCell ref="S1146:V1146"/>
    <mergeCell ref="X1146:AA1146"/>
    <mergeCell ref="AB1146:AD1146"/>
    <mergeCell ref="B1146:D1146"/>
    <mergeCell ref="E1146:I1146"/>
    <mergeCell ref="J1146:M1146"/>
    <mergeCell ref="N1146:P1146"/>
    <mergeCell ref="AE1144:AG1144"/>
    <mergeCell ref="B1145:D1145"/>
    <mergeCell ref="E1145:I1145"/>
    <mergeCell ref="J1145:M1145"/>
    <mergeCell ref="N1145:P1145"/>
    <mergeCell ref="Q1145:R1145"/>
    <mergeCell ref="S1145:V1145"/>
    <mergeCell ref="X1145:AA1145"/>
    <mergeCell ref="AB1145:AD1145"/>
    <mergeCell ref="AE1145:AG1145"/>
    <mergeCell ref="Q1144:R1144"/>
    <mergeCell ref="S1144:V1144"/>
    <mergeCell ref="X1144:AA1144"/>
    <mergeCell ref="AB1144:AD1144"/>
    <mergeCell ref="B1144:D1144"/>
    <mergeCell ref="E1144:I1144"/>
    <mergeCell ref="J1144:M1144"/>
    <mergeCell ref="N1144:P1144"/>
    <mergeCell ref="AE1142:AG1142"/>
    <mergeCell ref="B1143:D1143"/>
    <mergeCell ref="E1143:I1143"/>
    <mergeCell ref="J1143:M1143"/>
    <mergeCell ref="N1143:P1143"/>
    <mergeCell ref="Q1143:R1143"/>
    <mergeCell ref="S1143:V1143"/>
    <mergeCell ref="X1143:AA1143"/>
    <mergeCell ref="AB1143:AD1143"/>
    <mergeCell ref="AE1143:AG1143"/>
    <mergeCell ref="Q1142:R1142"/>
    <mergeCell ref="S1142:V1142"/>
    <mergeCell ref="X1142:AA1142"/>
    <mergeCell ref="AB1142:AD1142"/>
    <mergeCell ref="B1142:D1142"/>
    <mergeCell ref="E1142:I1142"/>
    <mergeCell ref="J1142:M1142"/>
    <mergeCell ref="N1142:P1142"/>
    <mergeCell ref="AE1140:AG1140"/>
    <mergeCell ref="B1141:D1141"/>
    <mergeCell ref="E1141:I1141"/>
    <mergeCell ref="J1141:M1141"/>
    <mergeCell ref="N1141:P1141"/>
    <mergeCell ref="Q1141:R1141"/>
    <mergeCell ref="S1141:V1141"/>
    <mergeCell ref="X1141:AA1141"/>
    <mergeCell ref="AB1141:AD1141"/>
    <mergeCell ref="AE1141:AG1141"/>
    <mergeCell ref="Q1140:R1140"/>
    <mergeCell ref="S1140:V1140"/>
    <mergeCell ref="X1140:AA1140"/>
    <mergeCell ref="AB1140:AD1140"/>
    <mergeCell ref="B1140:D1140"/>
    <mergeCell ref="E1140:I1140"/>
    <mergeCell ref="J1140:M1140"/>
    <mergeCell ref="N1140:P1140"/>
    <mergeCell ref="AE1138:AG1138"/>
    <mergeCell ref="B1139:D1139"/>
    <mergeCell ref="E1139:I1139"/>
    <mergeCell ref="J1139:M1139"/>
    <mergeCell ref="N1139:P1139"/>
    <mergeCell ref="Q1139:R1139"/>
    <mergeCell ref="S1139:V1139"/>
    <mergeCell ref="X1139:AA1139"/>
    <mergeCell ref="AB1139:AD1139"/>
    <mergeCell ref="AE1139:AG1139"/>
    <mergeCell ref="Q1138:R1138"/>
    <mergeCell ref="S1138:V1138"/>
    <mergeCell ref="X1138:AA1138"/>
    <mergeCell ref="AB1138:AD1138"/>
    <mergeCell ref="B1138:D1138"/>
    <mergeCell ref="E1138:I1138"/>
    <mergeCell ref="J1138:M1138"/>
    <mergeCell ref="N1138:P1138"/>
    <mergeCell ref="AE1136:AG1136"/>
    <mergeCell ref="B1137:D1137"/>
    <mergeCell ref="E1137:I1137"/>
    <mergeCell ref="J1137:M1137"/>
    <mergeCell ref="N1137:P1137"/>
    <mergeCell ref="Q1137:R1137"/>
    <mergeCell ref="S1137:V1137"/>
    <mergeCell ref="X1137:AA1137"/>
    <mergeCell ref="AB1137:AD1137"/>
    <mergeCell ref="AE1137:AG1137"/>
    <mergeCell ref="Q1136:R1136"/>
    <mergeCell ref="S1136:V1136"/>
    <mergeCell ref="X1136:AA1136"/>
    <mergeCell ref="AB1136:AD1136"/>
    <mergeCell ref="B1136:D1136"/>
    <mergeCell ref="E1136:I1136"/>
    <mergeCell ref="J1136:M1136"/>
    <mergeCell ref="N1136:P1136"/>
    <mergeCell ref="AE1134:AG1134"/>
    <mergeCell ref="B1135:D1135"/>
    <mergeCell ref="E1135:I1135"/>
    <mergeCell ref="J1135:M1135"/>
    <mergeCell ref="N1135:P1135"/>
    <mergeCell ref="Q1135:R1135"/>
    <mergeCell ref="S1135:V1135"/>
    <mergeCell ref="X1135:AA1135"/>
    <mergeCell ref="AB1135:AD1135"/>
    <mergeCell ref="AE1135:AG1135"/>
    <mergeCell ref="Q1134:R1134"/>
    <mergeCell ref="S1134:V1134"/>
    <mergeCell ref="X1134:AA1134"/>
    <mergeCell ref="AB1134:AD1134"/>
    <mergeCell ref="B1134:D1134"/>
    <mergeCell ref="E1134:I1134"/>
    <mergeCell ref="J1134:M1134"/>
    <mergeCell ref="N1134:P1134"/>
    <mergeCell ref="AE1132:AG1132"/>
    <mergeCell ref="B1133:D1133"/>
    <mergeCell ref="E1133:I1133"/>
    <mergeCell ref="J1133:M1133"/>
    <mergeCell ref="N1133:P1133"/>
    <mergeCell ref="Q1133:R1133"/>
    <mergeCell ref="S1133:V1133"/>
    <mergeCell ref="X1133:AA1133"/>
    <mergeCell ref="AB1133:AD1133"/>
    <mergeCell ref="AE1133:AG1133"/>
    <mergeCell ref="Q1132:R1132"/>
    <mergeCell ref="S1132:V1132"/>
    <mergeCell ref="X1132:AA1132"/>
    <mergeCell ref="AB1132:AD1132"/>
    <mergeCell ref="B1132:D1132"/>
    <mergeCell ref="E1132:I1132"/>
    <mergeCell ref="J1132:M1132"/>
    <mergeCell ref="N1132:P1132"/>
    <mergeCell ref="AE1130:AG1130"/>
    <mergeCell ref="B1131:D1131"/>
    <mergeCell ref="E1131:I1131"/>
    <mergeCell ref="J1131:M1131"/>
    <mergeCell ref="N1131:P1131"/>
    <mergeCell ref="Q1131:R1131"/>
    <mergeCell ref="S1131:V1131"/>
    <mergeCell ref="X1131:AA1131"/>
    <mergeCell ref="AB1131:AD1131"/>
    <mergeCell ref="AE1131:AG1131"/>
    <mergeCell ref="Q1130:R1130"/>
    <mergeCell ref="S1130:V1130"/>
    <mergeCell ref="X1130:AA1130"/>
    <mergeCell ref="AB1130:AD1130"/>
    <mergeCell ref="B1130:D1130"/>
    <mergeCell ref="E1130:I1130"/>
    <mergeCell ref="J1130:M1130"/>
    <mergeCell ref="N1130:P1130"/>
    <mergeCell ref="AE1128:AG1128"/>
    <mergeCell ref="B1129:D1129"/>
    <mergeCell ref="E1129:I1129"/>
    <mergeCell ref="J1129:M1129"/>
    <mergeCell ref="N1129:P1129"/>
    <mergeCell ref="Q1129:R1129"/>
    <mergeCell ref="S1129:V1129"/>
    <mergeCell ref="X1129:AA1129"/>
    <mergeCell ref="AB1129:AD1129"/>
    <mergeCell ref="AE1129:AG1129"/>
    <mergeCell ref="Q1128:R1128"/>
    <mergeCell ref="S1128:V1128"/>
    <mergeCell ref="X1128:AA1128"/>
    <mergeCell ref="AB1128:AD1128"/>
    <mergeCell ref="B1128:D1128"/>
    <mergeCell ref="E1128:I1128"/>
    <mergeCell ref="J1128:M1128"/>
    <mergeCell ref="N1128:P1128"/>
    <mergeCell ref="AE1126:AG1126"/>
    <mergeCell ref="B1127:D1127"/>
    <mergeCell ref="E1127:I1127"/>
    <mergeCell ref="J1127:M1127"/>
    <mergeCell ref="N1127:P1127"/>
    <mergeCell ref="Q1127:R1127"/>
    <mergeCell ref="S1127:V1127"/>
    <mergeCell ref="X1127:AA1127"/>
    <mergeCell ref="AB1127:AD1127"/>
    <mergeCell ref="AE1127:AG1127"/>
    <mergeCell ref="Q1126:R1126"/>
    <mergeCell ref="S1126:V1126"/>
    <mergeCell ref="X1126:AA1126"/>
    <mergeCell ref="AB1126:AD1126"/>
    <mergeCell ref="B1126:D1126"/>
    <mergeCell ref="E1126:I1126"/>
    <mergeCell ref="J1126:M1126"/>
    <mergeCell ref="N1126:P1126"/>
    <mergeCell ref="AE1124:AG1124"/>
    <mergeCell ref="B1125:D1125"/>
    <mergeCell ref="E1125:I1125"/>
    <mergeCell ref="J1125:M1125"/>
    <mergeCell ref="N1125:P1125"/>
    <mergeCell ref="Q1125:R1125"/>
    <mergeCell ref="S1125:V1125"/>
    <mergeCell ref="X1125:AA1125"/>
    <mergeCell ref="AB1125:AD1125"/>
    <mergeCell ref="AE1125:AG1125"/>
    <mergeCell ref="Q1124:R1124"/>
    <mergeCell ref="S1124:V1124"/>
    <mergeCell ref="X1124:AA1124"/>
    <mergeCell ref="AB1124:AD1124"/>
    <mergeCell ref="B1124:D1124"/>
    <mergeCell ref="E1124:I1124"/>
    <mergeCell ref="J1124:M1124"/>
    <mergeCell ref="N1124:P1124"/>
    <mergeCell ref="AE1122:AG1122"/>
    <mergeCell ref="B1123:D1123"/>
    <mergeCell ref="E1123:I1123"/>
    <mergeCell ref="J1123:M1123"/>
    <mergeCell ref="N1123:P1123"/>
    <mergeCell ref="Q1123:R1123"/>
    <mergeCell ref="S1123:V1123"/>
    <mergeCell ref="X1123:AA1123"/>
    <mergeCell ref="AB1123:AD1123"/>
    <mergeCell ref="AE1123:AG1123"/>
    <mergeCell ref="Q1122:R1122"/>
    <mergeCell ref="S1122:V1122"/>
    <mergeCell ref="X1122:AA1122"/>
    <mergeCell ref="AB1122:AD1122"/>
    <mergeCell ref="B1122:D1122"/>
    <mergeCell ref="E1122:I1122"/>
    <mergeCell ref="J1122:M1122"/>
    <mergeCell ref="N1122:P1122"/>
    <mergeCell ref="AE1120:AG1120"/>
    <mergeCell ref="B1121:D1121"/>
    <mergeCell ref="E1121:I1121"/>
    <mergeCell ref="J1121:M1121"/>
    <mergeCell ref="N1121:P1121"/>
    <mergeCell ref="Q1121:R1121"/>
    <mergeCell ref="S1121:V1121"/>
    <mergeCell ref="X1121:AA1121"/>
    <mergeCell ref="AB1121:AD1121"/>
    <mergeCell ref="AE1121:AG1121"/>
    <mergeCell ref="Q1120:R1120"/>
    <mergeCell ref="S1120:V1120"/>
    <mergeCell ref="X1120:AA1120"/>
    <mergeCell ref="AB1120:AD1120"/>
    <mergeCell ref="B1120:D1120"/>
    <mergeCell ref="E1120:I1120"/>
    <mergeCell ref="J1120:M1120"/>
    <mergeCell ref="N1120:P1120"/>
    <mergeCell ref="AE1118:AG1118"/>
    <mergeCell ref="B1119:D1119"/>
    <mergeCell ref="E1119:I1119"/>
    <mergeCell ref="J1119:M1119"/>
    <mergeCell ref="N1119:P1119"/>
    <mergeCell ref="Q1119:R1119"/>
    <mergeCell ref="S1119:V1119"/>
    <mergeCell ref="X1119:AA1119"/>
    <mergeCell ref="AB1119:AD1119"/>
    <mergeCell ref="AE1119:AG1119"/>
    <mergeCell ref="Q1118:R1118"/>
    <mergeCell ref="S1118:V1118"/>
    <mergeCell ref="X1118:AA1118"/>
    <mergeCell ref="AB1118:AD1118"/>
    <mergeCell ref="B1118:D1118"/>
    <mergeCell ref="E1118:I1118"/>
    <mergeCell ref="J1118:M1118"/>
    <mergeCell ref="N1118:P1118"/>
    <mergeCell ref="AE1116:AG1116"/>
    <mergeCell ref="B1117:D1117"/>
    <mergeCell ref="E1117:I1117"/>
    <mergeCell ref="J1117:M1117"/>
    <mergeCell ref="N1117:P1117"/>
    <mergeCell ref="Q1117:R1117"/>
    <mergeCell ref="S1117:V1117"/>
    <mergeCell ref="X1117:AA1117"/>
    <mergeCell ref="AB1117:AD1117"/>
    <mergeCell ref="AE1117:AG1117"/>
    <mergeCell ref="Q1116:R1116"/>
    <mergeCell ref="S1116:V1116"/>
    <mergeCell ref="X1116:AA1116"/>
    <mergeCell ref="AB1116:AD1116"/>
    <mergeCell ref="B1116:D1116"/>
    <mergeCell ref="E1116:I1116"/>
    <mergeCell ref="J1116:M1116"/>
    <mergeCell ref="N1116:P1116"/>
    <mergeCell ref="AE1114:AG1114"/>
    <mergeCell ref="B1115:D1115"/>
    <mergeCell ref="E1115:I1115"/>
    <mergeCell ref="J1115:M1115"/>
    <mergeCell ref="N1115:P1115"/>
    <mergeCell ref="Q1115:R1115"/>
    <mergeCell ref="S1115:V1115"/>
    <mergeCell ref="X1115:AA1115"/>
    <mergeCell ref="AB1115:AD1115"/>
    <mergeCell ref="AE1115:AG1115"/>
    <mergeCell ref="Q1114:R1114"/>
    <mergeCell ref="S1114:V1114"/>
    <mergeCell ref="X1114:AA1114"/>
    <mergeCell ref="AB1114:AD1114"/>
    <mergeCell ref="B1114:D1114"/>
    <mergeCell ref="E1114:I1114"/>
    <mergeCell ref="J1114:M1114"/>
    <mergeCell ref="N1114:P1114"/>
    <mergeCell ref="AE1112:AG1112"/>
    <mergeCell ref="B1113:D1113"/>
    <mergeCell ref="E1113:I1113"/>
    <mergeCell ref="J1113:M1113"/>
    <mergeCell ref="N1113:P1113"/>
    <mergeCell ref="Q1113:R1113"/>
    <mergeCell ref="S1113:V1113"/>
    <mergeCell ref="X1113:AA1113"/>
    <mergeCell ref="AB1113:AD1113"/>
    <mergeCell ref="AE1113:AG1113"/>
    <mergeCell ref="Q1112:R1112"/>
    <mergeCell ref="S1112:V1112"/>
    <mergeCell ref="X1112:AA1112"/>
    <mergeCell ref="AB1112:AD1112"/>
    <mergeCell ref="B1112:D1112"/>
    <mergeCell ref="E1112:I1112"/>
    <mergeCell ref="J1112:M1112"/>
    <mergeCell ref="N1112:P1112"/>
    <mergeCell ref="AE1110:AG1110"/>
    <mergeCell ref="B1111:D1111"/>
    <mergeCell ref="E1111:I1111"/>
    <mergeCell ref="J1111:M1111"/>
    <mergeCell ref="N1111:P1111"/>
    <mergeCell ref="Q1111:R1111"/>
    <mergeCell ref="S1111:V1111"/>
    <mergeCell ref="X1111:AA1111"/>
    <mergeCell ref="AB1111:AD1111"/>
    <mergeCell ref="AE1111:AG1111"/>
    <mergeCell ref="Q1110:R1110"/>
    <mergeCell ref="S1110:V1110"/>
    <mergeCell ref="X1110:AA1110"/>
    <mergeCell ref="AB1110:AD1110"/>
    <mergeCell ref="B1110:D1110"/>
    <mergeCell ref="E1110:I1110"/>
    <mergeCell ref="J1110:M1110"/>
    <mergeCell ref="N1110:P1110"/>
    <mergeCell ref="AE1108:AG1108"/>
    <mergeCell ref="B1109:D1109"/>
    <mergeCell ref="E1109:I1109"/>
    <mergeCell ref="J1109:M1109"/>
    <mergeCell ref="N1109:P1109"/>
    <mergeCell ref="Q1109:R1109"/>
    <mergeCell ref="S1109:V1109"/>
    <mergeCell ref="X1109:AA1109"/>
    <mergeCell ref="AB1109:AD1109"/>
    <mergeCell ref="AE1109:AG1109"/>
    <mergeCell ref="Q1108:R1108"/>
    <mergeCell ref="S1108:V1108"/>
    <mergeCell ref="X1108:AA1108"/>
    <mergeCell ref="AB1108:AD1108"/>
    <mergeCell ref="B1108:D1108"/>
    <mergeCell ref="E1108:I1108"/>
    <mergeCell ref="J1108:M1108"/>
    <mergeCell ref="N1108:P1108"/>
    <mergeCell ref="AE1106:AG1106"/>
    <mergeCell ref="B1107:D1107"/>
    <mergeCell ref="E1107:I1107"/>
    <mergeCell ref="J1107:M1107"/>
    <mergeCell ref="N1107:P1107"/>
    <mergeCell ref="Q1107:R1107"/>
    <mergeCell ref="S1107:V1107"/>
    <mergeCell ref="X1107:AA1107"/>
    <mergeCell ref="AB1107:AD1107"/>
    <mergeCell ref="AE1107:AG1107"/>
    <mergeCell ref="Q1106:R1106"/>
    <mergeCell ref="S1106:V1106"/>
    <mergeCell ref="X1106:AA1106"/>
    <mergeCell ref="AB1106:AD1106"/>
    <mergeCell ref="B1106:D1106"/>
    <mergeCell ref="E1106:I1106"/>
    <mergeCell ref="J1106:M1106"/>
    <mergeCell ref="N1106:P1106"/>
    <mergeCell ref="AE1104:AG1104"/>
    <mergeCell ref="B1105:D1105"/>
    <mergeCell ref="E1105:I1105"/>
    <mergeCell ref="J1105:M1105"/>
    <mergeCell ref="N1105:P1105"/>
    <mergeCell ref="Q1105:R1105"/>
    <mergeCell ref="S1105:V1105"/>
    <mergeCell ref="X1105:AA1105"/>
    <mergeCell ref="AB1105:AD1105"/>
    <mergeCell ref="AE1105:AG1105"/>
    <mergeCell ref="Q1104:R1104"/>
    <mergeCell ref="S1104:V1104"/>
    <mergeCell ref="X1104:AA1104"/>
    <mergeCell ref="AB1104:AD1104"/>
    <mergeCell ref="B1104:D1104"/>
    <mergeCell ref="E1104:I1104"/>
    <mergeCell ref="J1104:M1104"/>
    <mergeCell ref="N1104:P1104"/>
    <mergeCell ref="AE1102:AG1102"/>
    <mergeCell ref="B1103:D1103"/>
    <mergeCell ref="E1103:I1103"/>
    <mergeCell ref="J1103:M1103"/>
    <mergeCell ref="N1103:P1103"/>
    <mergeCell ref="Q1103:R1103"/>
    <mergeCell ref="S1103:V1103"/>
    <mergeCell ref="X1103:AA1103"/>
    <mergeCell ref="AB1103:AD1103"/>
    <mergeCell ref="AE1103:AG1103"/>
    <mergeCell ref="Q1102:R1102"/>
    <mergeCell ref="S1102:V1102"/>
    <mergeCell ref="X1102:AA1102"/>
    <mergeCell ref="AB1102:AD1102"/>
    <mergeCell ref="B1102:D1102"/>
    <mergeCell ref="E1102:I1102"/>
    <mergeCell ref="J1102:M1102"/>
    <mergeCell ref="N1102:P1102"/>
    <mergeCell ref="AE1100:AG1100"/>
    <mergeCell ref="B1101:D1101"/>
    <mergeCell ref="E1101:I1101"/>
    <mergeCell ref="J1101:M1101"/>
    <mergeCell ref="N1101:P1101"/>
    <mergeCell ref="Q1101:R1101"/>
    <mergeCell ref="S1101:V1101"/>
    <mergeCell ref="X1101:AA1101"/>
    <mergeCell ref="AB1101:AD1101"/>
    <mergeCell ref="AE1101:AG1101"/>
    <mergeCell ref="Q1100:R1100"/>
    <mergeCell ref="S1100:V1100"/>
    <mergeCell ref="X1100:AA1100"/>
    <mergeCell ref="AB1100:AD1100"/>
    <mergeCell ref="B1100:D1100"/>
    <mergeCell ref="E1100:I1100"/>
    <mergeCell ref="J1100:M1100"/>
    <mergeCell ref="N1100:P1100"/>
    <mergeCell ref="AE1098:AG1098"/>
    <mergeCell ref="B1099:D1099"/>
    <mergeCell ref="E1099:I1099"/>
    <mergeCell ref="J1099:M1099"/>
    <mergeCell ref="N1099:P1099"/>
    <mergeCell ref="Q1099:R1099"/>
    <mergeCell ref="S1099:V1099"/>
    <mergeCell ref="X1099:AA1099"/>
    <mergeCell ref="AB1099:AD1099"/>
    <mergeCell ref="AE1099:AG1099"/>
    <mergeCell ref="Q1098:R1098"/>
    <mergeCell ref="S1098:V1098"/>
    <mergeCell ref="X1098:AA1098"/>
    <mergeCell ref="AB1098:AD1098"/>
    <mergeCell ref="B1098:D1098"/>
    <mergeCell ref="E1098:I1098"/>
    <mergeCell ref="J1098:M1098"/>
    <mergeCell ref="N1098:P1098"/>
    <mergeCell ref="AE1096:AG1096"/>
    <mergeCell ref="B1097:D1097"/>
    <mergeCell ref="E1097:I1097"/>
    <mergeCell ref="J1097:M1097"/>
    <mergeCell ref="N1097:P1097"/>
    <mergeCell ref="Q1097:R1097"/>
    <mergeCell ref="S1097:V1097"/>
    <mergeCell ref="X1097:AA1097"/>
    <mergeCell ref="AB1097:AD1097"/>
    <mergeCell ref="AE1097:AG1097"/>
    <mergeCell ref="Q1096:R1096"/>
    <mergeCell ref="S1096:V1096"/>
    <mergeCell ref="X1096:AA1096"/>
    <mergeCell ref="AB1096:AD1096"/>
    <mergeCell ref="B1096:D1096"/>
    <mergeCell ref="E1096:I1096"/>
    <mergeCell ref="J1096:M1096"/>
    <mergeCell ref="N1096:P1096"/>
    <mergeCell ref="AE1094:AG1094"/>
    <mergeCell ref="B1095:D1095"/>
    <mergeCell ref="E1095:I1095"/>
    <mergeCell ref="J1095:M1095"/>
    <mergeCell ref="N1095:P1095"/>
    <mergeCell ref="Q1095:R1095"/>
    <mergeCell ref="S1095:V1095"/>
    <mergeCell ref="X1095:AA1095"/>
    <mergeCell ref="AB1095:AD1095"/>
    <mergeCell ref="AE1095:AG1095"/>
    <mergeCell ref="Q1094:R1094"/>
    <mergeCell ref="S1094:V1094"/>
    <mergeCell ref="X1094:AA1094"/>
    <mergeCell ref="AB1094:AD1094"/>
    <mergeCell ref="B1094:D1094"/>
    <mergeCell ref="E1094:I1094"/>
    <mergeCell ref="J1094:M1094"/>
    <mergeCell ref="N1094:P1094"/>
    <mergeCell ref="AE1092:AG1092"/>
    <mergeCell ref="B1093:D1093"/>
    <mergeCell ref="E1093:I1093"/>
    <mergeCell ref="J1093:M1093"/>
    <mergeCell ref="N1093:P1093"/>
    <mergeCell ref="Q1093:R1093"/>
    <mergeCell ref="S1093:V1093"/>
    <mergeCell ref="X1093:AA1093"/>
    <mergeCell ref="AB1093:AD1093"/>
    <mergeCell ref="AE1093:AG1093"/>
    <mergeCell ref="Q1092:R1092"/>
    <mergeCell ref="S1092:V1092"/>
    <mergeCell ref="X1092:AA1092"/>
    <mergeCell ref="AB1092:AD1092"/>
    <mergeCell ref="B1092:D1092"/>
    <mergeCell ref="E1092:I1092"/>
    <mergeCell ref="J1092:M1092"/>
    <mergeCell ref="N1092:P1092"/>
    <mergeCell ref="AE1090:AG1090"/>
    <mergeCell ref="B1091:D1091"/>
    <mergeCell ref="E1091:I1091"/>
    <mergeCell ref="J1091:M1091"/>
    <mergeCell ref="N1091:P1091"/>
    <mergeCell ref="Q1091:R1091"/>
    <mergeCell ref="S1091:V1091"/>
    <mergeCell ref="X1091:AA1091"/>
    <mergeCell ref="AB1091:AD1091"/>
    <mergeCell ref="AE1091:AG1091"/>
    <mergeCell ref="Q1090:R1090"/>
    <mergeCell ref="S1090:V1090"/>
    <mergeCell ref="X1090:AA1090"/>
    <mergeCell ref="AB1090:AD1090"/>
    <mergeCell ref="B1090:D1090"/>
    <mergeCell ref="E1090:I1090"/>
    <mergeCell ref="J1090:M1090"/>
    <mergeCell ref="N1090:P1090"/>
    <mergeCell ref="AE1088:AG1088"/>
    <mergeCell ref="B1089:D1089"/>
    <mergeCell ref="E1089:I1089"/>
    <mergeCell ref="J1089:M1089"/>
    <mergeCell ref="N1089:P1089"/>
    <mergeCell ref="Q1089:R1089"/>
    <mergeCell ref="S1089:V1089"/>
    <mergeCell ref="X1089:AA1089"/>
    <mergeCell ref="AB1089:AD1089"/>
    <mergeCell ref="AE1089:AG1089"/>
    <mergeCell ref="Q1088:R1088"/>
    <mergeCell ref="S1088:V1088"/>
    <mergeCell ref="X1088:AA1088"/>
    <mergeCell ref="AB1088:AD1088"/>
    <mergeCell ref="B1088:D1088"/>
    <mergeCell ref="E1088:I1088"/>
    <mergeCell ref="J1088:M1088"/>
    <mergeCell ref="N1088:P1088"/>
    <mergeCell ref="AE1086:AG1086"/>
    <mergeCell ref="B1087:D1087"/>
    <mergeCell ref="E1087:I1087"/>
    <mergeCell ref="J1087:M1087"/>
    <mergeCell ref="N1087:P1087"/>
    <mergeCell ref="Q1087:R1087"/>
    <mergeCell ref="S1087:V1087"/>
    <mergeCell ref="X1087:AA1087"/>
    <mergeCell ref="AB1087:AD1087"/>
    <mergeCell ref="AE1087:AG1087"/>
    <mergeCell ref="Q1086:R1086"/>
    <mergeCell ref="S1086:V1086"/>
    <mergeCell ref="X1086:AA1086"/>
    <mergeCell ref="AB1086:AD1086"/>
    <mergeCell ref="B1086:D1086"/>
    <mergeCell ref="E1086:I1086"/>
    <mergeCell ref="J1086:M1086"/>
    <mergeCell ref="N1086:P1086"/>
    <mergeCell ref="AE1084:AG1084"/>
    <mergeCell ref="B1085:D1085"/>
    <mergeCell ref="E1085:I1085"/>
    <mergeCell ref="J1085:M1085"/>
    <mergeCell ref="N1085:P1085"/>
    <mergeCell ref="Q1085:R1085"/>
    <mergeCell ref="S1085:V1085"/>
    <mergeCell ref="X1085:AA1085"/>
    <mergeCell ref="AB1085:AD1085"/>
    <mergeCell ref="AE1085:AG1085"/>
    <mergeCell ref="Q1084:R1084"/>
    <mergeCell ref="S1084:V1084"/>
    <mergeCell ref="X1084:AA1084"/>
    <mergeCell ref="AB1084:AD1084"/>
    <mergeCell ref="B1084:D1084"/>
    <mergeCell ref="E1084:I1084"/>
    <mergeCell ref="J1084:M1084"/>
    <mergeCell ref="N1084:P1084"/>
    <mergeCell ref="AE1082:AG1082"/>
    <mergeCell ref="B1083:D1083"/>
    <mergeCell ref="E1083:I1083"/>
    <mergeCell ref="J1083:M1083"/>
    <mergeCell ref="N1083:P1083"/>
    <mergeCell ref="Q1083:R1083"/>
    <mergeCell ref="S1083:V1083"/>
    <mergeCell ref="X1083:AA1083"/>
    <mergeCell ref="AB1083:AD1083"/>
    <mergeCell ref="AE1083:AG1083"/>
    <mergeCell ref="Q1082:R1082"/>
    <mergeCell ref="S1082:V1082"/>
    <mergeCell ref="X1082:AA1082"/>
    <mergeCell ref="AB1082:AD1082"/>
    <mergeCell ref="B1082:D1082"/>
    <mergeCell ref="E1082:I1082"/>
    <mergeCell ref="J1082:M1082"/>
    <mergeCell ref="N1082:P1082"/>
    <mergeCell ref="AE1080:AG1080"/>
    <mergeCell ref="B1081:D1081"/>
    <mergeCell ref="E1081:I1081"/>
    <mergeCell ref="J1081:M1081"/>
    <mergeCell ref="N1081:P1081"/>
    <mergeCell ref="Q1081:R1081"/>
    <mergeCell ref="S1081:V1081"/>
    <mergeCell ref="X1081:AA1081"/>
    <mergeCell ref="AB1081:AD1081"/>
    <mergeCell ref="AE1081:AG1081"/>
    <mergeCell ref="Q1080:R1080"/>
    <mergeCell ref="S1080:V1080"/>
    <mergeCell ref="X1080:AA1080"/>
    <mergeCell ref="AB1080:AD1080"/>
    <mergeCell ref="B1080:D1080"/>
    <mergeCell ref="E1080:I1080"/>
    <mergeCell ref="J1080:M1080"/>
    <mergeCell ref="N1080:P1080"/>
    <mergeCell ref="AE1078:AG1078"/>
    <mergeCell ref="B1079:D1079"/>
    <mergeCell ref="E1079:I1079"/>
    <mergeCell ref="J1079:M1079"/>
    <mergeCell ref="N1079:P1079"/>
    <mergeCell ref="Q1079:R1079"/>
    <mergeCell ref="S1079:V1079"/>
    <mergeCell ref="X1079:AA1079"/>
    <mergeCell ref="AB1079:AD1079"/>
    <mergeCell ref="AE1079:AG1079"/>
    <mergeCell ref="Q1078:R1078"/>
    <mergeCell ref="S1078:V1078"/>
    <mergeCell ref="X1078:AA1078"/>
    <mergeCell ref="AB1078:AD1078"/>
    <mergeCell ref="B1078:D1078"/>
    <mergeCell ref="E1078:I1078"/>
    <mergeCell ref="J1078:M1078"/>
    <mergeCell ref="N1078:P1078"/>
    <mergeCell ref="AE1076:AG1076"/>
    <mergeCell ref="B1077:D1077"/>
    <mergeCell ref="E1077:I1077"/>
    <mergeCell ref="J1077:M1077"/>
    <mergeCell ref="N1077:P1077"/>
    <mergeCell ref="Q1077:R1077"/>
    <mergeCell ref="S1077:V1077"/>
    <mergeCell ref="X1077:AA1077"/>
    <mergeCell ref="AB1077:AD1077"/>
    <mergeCell ref="AE1077:AG1077"/>
    <mergeCell ref="Q1076:R1076"/>
    <mergeCell ref="S1076:V1076"/>
    <mergeCell ref="X1076:AA1076"/>
    <mergeCell ref="AB1076:AD1076"/>
    <mergeCell ref="B1076:D1076"/>
    <mergeCell ref="E1076:I1076"/>
    <mergeCell ref="J1076:M1076"/>
    <mergeCell ref="N1076:P1076"/>
    <mergeCell ref="AE1074:AG1074"/>
    <mergeCell ref="B1075:D1075"/>
    <mergeCell ref="E1075:I1075"/>
    <mergeCell ref="J1075:M1075"/>
    <mergeCell ref="N1075:P1075"/>
    <mergeCell ref="Q1075:R1075"/>
    <mergeCell ref="S1075:V1075"/>
    <mergeCell ref="X1075:AA1075"/>
    <mergeCell ref="AB1075:AD1075"/>
    <mergeCell ref="AE1075:AG1075"/>
    <mergeCell ref="Q1074:R1074"/>
    <mergeCell ref="S1074:V1074"/>
    <mergeCell ref="X1074:AA1074"/>
    <mergeCell ref="AB1074:AD1074"/>
    <mergeCell ref="B1074:D1074"/>
    <mergeCell ref="E1074:I1074"/>
    <mergeCell ref="J1074:M1074"/>
    <mergeCell ref="N1074:P1074"/>
    <mergeCell ref="AE1072:AG1072"/>
    <mergeCell ref="B1073:D1073"/>
    <mergeCell ref="E1073:I1073"/>
    <mergeCell ref="J1073:M1073"/>
    <mergeCell ref="N1073:P1073"/>
    <mergeCell ref="Q1073:R1073"/>
    <mergeCell ref="S1073:V1073"/>
    <mergeCell ref="X1073:AA1073"/>
    <mergeCell ref="AB1073:AD1073"/>
    <mergeCell ref="AE1073:AG1073"/>
    <mergeCell ref="Q1072:R1072"/>
    <mergeCell ref="S1072:V1072"/>
    <mergeCell ref="X1072:AA1072"/>
    <mergeCell ref="AB1072:AD1072"/>
    <mergeCell ref="B1072:D1072"/>
    <mergeCell ref="E1072:I1072"/>
    <mergeCell ref="J1072:M1072"/>
    <mergeCell ref="N1072:P1072"/>
    <mergeCell ref="AE1070:AG1070"/>
    <mergeCell ref="B1071:D1071"/>
    <mergeCell ref="E1071:I1071"/>
    <mergeCell ref="J1071:M1071"/>
    <mergeCell ref="N1071:P1071"/>
    <mergeCell ref="Q1071:R1071"/>
    <mergeCell ref="S1071:V1071"/>
    <mergeCell ref="X1071:AA1071"/>
    <mergeCell ref="AB1071:AD1071"/>
    <mergeCell ref="AE1071:AG1071"/>
    <mergeCell ref="Q1070:R1070"/>
    <mergeCell ref="S1070:V1070"/>
    <mergeCell ref="X1070:AA1070"/>
    <mergeCell ref="AB1070:AD1070"/>
    <mergeCell ref="B1070:D1070"/>
    <mergeCell ref="E1070:I1070"/>
    <mergeCell ref="J1070:M1070"/>
    <mergeCell ref="N1070:P1070"/>
    <mergeCell ref="AE1068:AG1068"/>
    <mergeCell ref="B1069:D1069"/>
    <mergeCell ref="E1069:I1069"/>
    <mergeCell ref="J1069:M1069"/>
    <mergeCell ref="N1069:P1069"/>
    <mergeCell ref="Q1069:R1069"/>
    <mergeCell ref="S1069:V1069"/>
    <mergeCell ref="X1069:AA1069"/>
    <mergeCell ref="AB1069:AD1069"/>
    <mergeCell ref="AE1069:AG1069"/>
    <mergeCell ref="Q1068:R1068"/>
    <mergeCell ref="S1068:V1068"/>
    <mergeCell ref="X1068:AA1068"/>
    <mergeCell ref="AB1068:AD1068"/>
    <mergeCell ref="B1068:D1068"/>
    <mergeCell ref="E1068:I1068"/>
    <mergeCell ref="J1068:M1068"/>
    <mergeCell ref="N1068:P1068"/>
    <mergeCell ref="AE1066:AG1066"/>
    <mergeCell ref="B1067:D1067"/>
    <mergeCell ref="E1067:I1067"/>
    <mergeCell ref="J1067:M1067"/>
    <mergeCell ref="N1067:P1067"/>
    <mergeCell ref="Q1067:R1067"/>
    <mergeCell ref="S1067:V1067"/>
    <mergeCell ref="X1067:AA1067"/>
    <mergeCell ref="AB1067:AD1067"/>
    <mergeCell ref="AE1067:AG1067"/>
    <mergeCell ref="Q1066:R1066"/>
    <mergeCell ref="S1066:V1066"/>
    <mergeCell ref="X1066:AA1066"/>
    <mergeCell ref="AB1066:AD1066"/>
    <mergeCell ref="B1066:D1066"/>
    <mergeCell ref="E1066:I1066"/>
    <mergeCell ref="J1066:M1066"/>
    <mergeCell ref="N1066:P1066"/>
    <mergeCell ref="AE1064:AG1064"/>
    <mergeCell ref="B1065:D1065"/>
    <mergeCell ref="E1065:I1065"/>
    <mergeCell ref="J1065:M1065"/>
    <mergeCell ref="N1065:P1065"/>
    <mergeCell ref="Q1065:R1065"/>
    <mergeCell ref="S1065:V1065"/>
    <mergeCell ref="X1065:AA1065"/>
    <mergeCell ref="AB1065:AD1065"/>
    <mergeCell ref="AE1065:AG1065"/>
    <mergeCell ref="Q1064:R1064"/>
    <mergeCell ref="S1064:V1064"/>
    <mergeCell ref="X1064:AA1064"/>
    <mergeCell ref="AB1064:AD1064"/>
    <mergeCell ref="B1064:D1064"/>
    <mergeCell ref="E1064:I1064"/>
    <mergeCell ref="J1064:M1064"/>
    <mergeCell ref="N1064:P1064"/>
    <mergeCell ref="AE1062:AG1062"/>
    <mergeCell ref="B1063:D1063"/>
    <mergeCell ref="E1063:I1063"/>
    <mergeCell ref="J1063:M1063"/>
    <mergeCell ref="N1063:P1063"/>
    <mergeCell ref="Q1063:R1063"/>
    <mergeCell ref="S1063:V1063"/>
    <mergeCell ref="X1063:AA1063"/>
    <mergeCell ref="AB1063:AD1063"/>
    <mergeCell ref="AE1063:AG1063"/>
    <mergeCell ref="Q1062:R1062"/>
    <mergeCell ref="S1062:V1062"/>
    <mergeCell ref="X1062:AA1062"/>
    <mergeCell ref="AB1062:AD1062"/>
    <mergeCell ref="B1062:D1062"/>
    <mergeCell ref="E1062:I1062"/>
    <mergeCell ref="J1062:M1062"/>
    <mergeCell ref="N1062:P1062"/>
    <mergeCell ref="AE1060:AG1060"/>
    <mergeCell ref="B1061:D1061"/>
    <mergeCell ref="E1061:I1061"/>
    <mergeCell ref="J1061:M1061"/>
    <mergeCell ref="N1061:P1061"/>
    <mergeCell ref="Q1061:R1061"/>
    <mergeCell ref="S1061:V1061"/>
    <mergeCell ref="X1061:AA1061"/>
    <mergeCell ref="AB1061:AD1061"/>
    <mergeCell ref="AE1061:AG1061"/>
    <mergeCell ref="Q1060:R1060"/>
    <mergeCell ref="S1060:V1060"/>
    <mergeCell ref="X1060:AA1060"/>
    <mergeCell ref="AB1060:AD1060"/>
    <mergeCell ref="B1060:D1060"/>
    <mergeCell ref="E1060:I1060"/>
    <mergeCell ref="J1060:M1060"/>
    <mergeCell ref="N1060:P1060"/>
    <mergeCell ref="AE1058:AG1058"/>
    <mergeCell ref="B1059:D1059"/>
    <mergeCell ref="E1059:I1059"/>
    <mergeCell ref="J1059:M1059"/>
    <mergeCell ref="N1059:P1059"/>
    <mergeCell ref="Q1059:R1059"/>
    <mergeCell ref="S1059:V1059"/>
    <mergeCell ref="X1059:AA1059"/>
    <mergeCell ref="AB1059:AD1059"/>
    <mergeCell ref="AE1059:AG1059"/>
    <mergeCell ref="Q1058:R1058"/>
    <mergeCell ref="S1058:V1058"/>
    <mergeCell ref="X1058:AA1058"/>
    <mergeCell ref="AB1058:AD1058"/>
    <mergeCell ref="B1058:D1058"/>
    <mergeCell ref="E1058:I1058"/>
    <mergeCell ref="J1058:M1058"/>
    <mergeCell ref="N1058:P1058"/>
    <mergeCell ref="AE1056:AG1056"/>
    <mergeCell ref="B1057:D1057"/>
    <mergeCell ref="E1057:I1057"/>
    <mergeCell ref="J1057:M1057"/>
    <mergeCell ref="N1057:P1057"/>
    <mergeCell ref="Q1057:R1057"/>
    <mergeCell ref="S1057:V1057"/>
    <mergeCell ref="X1057:AA1057"/>
    <mergeCell ref="AB1057:AD1057"/>
    <mergeCell ref="AE1057:AG1057"/>
    <mergeCell ref="Q1056:R1056"/>
    <mergeCell ref="S1056:V1056"/>
    <mergeCell ref="X1056:AA1056"/>
    <mergeCell ref="AB1056:AD1056"/>
    <mergeCell ref="B1056:D1056"/>
    <mergeCell ref="E1056:I1056"/>
    <mergeCell ref="J1056:M1056"/>
    <mergeCell ref="N1056:P1056"/>
    <mergeCell ref="AE1054:AG1054"/>
    <mergeCell ref="B1055:D1055"/>
    <mergeCell ref="E1055:I1055"/>
    <mergeCell ref="J1055:M1055"/>
    <mergeCell ref="N1055:P1055"/>
    <mergeCell ref="Q1055:R1055"/>
    <mergeCell ref="S1055:V1055"/>
    <mergeCell ref="X1055:AA1055"/>
    <mergeCell ref="AB1055:AD1055"/>
    <mergeCell ref="AE1055:AG1055"/>
    <mergeCell ref="Q1054:R1054"/>
    <mergeCell ref="S1054:V1054"/>
    <mergeCell ref="X1054:AA1054"/>
    <mergeCell ref="AB1054:AD1054"/>
    <mergeCell ref="B1054:D1054"/>
    <mergeCell ref="E1054:I1054"/>
    <mergeCell ref="J1054:M1054"/>
    <mergeCell ref="N1054:P1054"/>
    <mergeCell ref="AE1052:AG1052"/>
    <mergeCell ref="B1053:D1053"/>
    <mergeCell ref="E1053:I1053"/>
    <mergeCell ref="J1053:M1053"/>
    <mergeCell ref="N1053:P1053"/>
    <mergeCell ref="Q1053:R1053"/>
    <mergeCell ref="S1053:V1053"/>
    <mergeCell ref="X1053:AA1053"/>
    <mergeCell ref="AB1053:AD1053"/>
    <mergeCell ref="AE1053:AG1053"/>
    <mergeCell ref="Q1052:R1052"/>
    <mergeCell ref="S1052:V1052"/>
    <mergeCell ref="X1052:AA1052"/>
    <mergeCell ref="AB1052:AD1052"/>
    <mergeCell ref="B1052:D1052"/>
    <mergeCell ref="E1052:I1052"/>
    <mergeCell ref="J1052:M1052"/>
    <mergeCell ref="N1052:P1052"/>
    <mergeCell ref="AE1050:AG1050"/>
    <mergeCell ref="B1051:D1051"/>
    <mergeCell ref="E1051:I1051"/>
    <mergeCell ref="J1051:M1051"/>
    <mergeCell ref="N1051:P1051"/>
    <mergeCell ref="Q1051:R1051"/>
    <mergeCell ref="S1051:V1051"/>
    <mergeCell ref="X1051:AA1051"/>
    <mergeCell ref="AB1051:AD1051"/>
    <mergeCell ref="AE1051:AG1051"/>
    <mergeCell ref="Q1050:R1050"/>
    <mergeCell ref="S1050:V1050"/>
    <mergeCell ref="X1050:AA1050"/>
    <mergeCell ref="AB1050:AD1050"/>
    <mergeCell ref="B1050:D1050"/>
    <mergeCell ref="E1050:I1050"/>
    <mergeCell ref="J1050:M1050"/>
    <mergeCell ref="N1050:P1050"/>
    <mergeCell ref="AE1048:AG1048"/>
    <mergeCell ref="B1049:D1049"/>
    <mergeCell ref="E1049:I1049"/>
    <mergeCell ref="J1049:M1049"/>
    <mergeCell ref="N1049:P1049"/>
    <mergeCell ref="Q1049:R1049"/>
    <mergeCell ref="S1049:V1049"/>
    <mergeCell ref="X1049:AA1049"/>
    <mergeCell ref="AB1049:AD1049"/>
    <mergeCell ref="AE1049:AG1049"/>
    <mergeCell ref="Q1048:R1048"/>
    <mergeCell ref="S1048:V1048"/>
    <mergeCell ref="X1048:AA1048"/>
    <mergeCell ref="AB1048:AD1048"/>
    <mergeCell ref="B1048:D1048"/>
    <mergeCell ref="E1048:I1048"/>
    <mergeCell ref="J1048:M1048"/>
    <mergeCell ref="N1048:P1048"/>
    <mergeCell ref="AE1046:AG1046"/>
    <mergeCell ref="B1047:D1047"/>
    <mergeCell ref="E1047:I1047"/>
    <mergeCell ref="J1047:M1047"/>
    <mergeCell ref="N1047:P1047"/>
    <mergeCell ref="Q1047:R1047"/>
    <mergeCell ref="S1047:V1047"/>
    <mergeCell ref="X1047:AA1047"/>
    <mergeCell ref="AB1047:AD1047"/>
    <mergeCell ref="AE1047:AG1047"/>
    <mergeCell ref="Q1046:R1046"/>
    <mergeCell ref="S1046:V1046"/>
    <mergeCell ref="X1046:AA1046"/>
    <mergeCell ref="AB1046:AD1046"/>
    <mergeCell ref="B1046:D1046"/>
    <mergeCell ref="E1046:I1046"/>
    <mergeCell ref="J1046:M1046"/>
    <mergeCell ref="N1046:P1046"/>
    <mergeCell ref="AE1044:AG1044"/>
    <mergeCell ref="B1045:D1045"/>
    <mergeCell ref="E1045:I1045"/>
    <mergeCell ref="J1045:M1045"/>
    <mergeCell ref="N1045:P1045"/>
    <mergeCell ref="Q1045:R1045"/>
    <mergeCell ref="S1045:V1045"/>
    <mergeCell ref="X1045:AA1045"/>
    <mergeCell ref="AB1045:AD1045"/>
    <mergeCell ref="AE1045:AG1045"/>
    <mergeCell ref="Q1044:R1044"/>
    <mergeCell ref="S1044:V1044"/>
    <mergeCell ref="X1044:AA1044"/>
    <mergeCell ref="AB1044:AD1044"/>
    <mergeCell ref="B1044:D1044"/>
    <mergeCell ref="E1044:I1044"/>
    <mergeCell ref="J1044:M1044"/>
    <mergeCell ref="N1044:P1044"/>
    <mergeCell ref="AE1042:AG1042"/>
    <mergeCell ref="B1043:D1043"/>
    <mergeCell ref="E1043:I1043"/>
    <mergeCell ref="J1043:M1043"/>
    <mergeCell ref="N1043:P1043"/>
    <mergeCell ref="Q1043:R1043"/>
    <mergeCell ref="S1043:V1043"/>
    <mergeCell ref="X1043:AA1043"/>
    <mergeCell ref="AB1043:AD1043"/>
    <mergeCell ref="AE1043:AG1043"/>
    <mergeCell ref="Q1042:R1042"/>
    <mergeCell ref="S1042:V1042"/>
    <mergeCell ref="X1042:AA1042"/>
    <mergeCell ref="AB1042:AD1042"/>
    <mergeCell ref="B1042:D1042"/>
    <mergeCell ref="E1042:I1042"/>
    <mergeCell ref="J1042:M1042"/>
    <mergeCell ref="N1042:P1042"/>
    <mergeCell ref="AE1040:AG1040"/>
    <mergeCell ref="B1041:D1041"/>
    <mergeCell ref="E1041:I1041"/>
    <mergeCell ref="J1041:M1041"/>
    <mergeCell ref="N1041:P1041"/>
    <mergeCell ref="Q1041:R1041"/>
    <mergeCell ref="S1041:V1041"/>
    <mergeCell ref="X1041:AA1041"/>
    <mergeCell ref="AB1041:AD1041"/>
    <mergeCell ref="AE1041:AG1041"/>
    <mergeCell ref="Q1040:R1040"/>
    <mergeCell ref="S1040:V1040"/>
    <mergeCell ref="X1040:AA1040"/>
    <mergeCell ref="AB1040:AD1040"/>
    <mergeCell ref="B1040:D1040"/>
    <mergeCell ref="E1040:I1040"/>
    <mergeCell ref="J1040:M1040"/>
    <mergeCell ref="N1040:P1040"/>
    <mergeCell ref="AE1038:AG1038"/>
    <mergeCell ref="B1039:D1039"/>
    <mergeCell ref="E1039:I1039"/>
    <mergeCell ref="J1039:M1039"/>
    <mergeCell ref="N1039:P1039"/>
    <mergeCell ref="Q1039:R1039"/>
    <mergeCell ref="S1039:V1039"/>
    <mergeCell ref="X1039:AA1039"/>
    <mergeCell ref="AB1039:AD1039"/>
    <mergeCell ref="AE1039:AG1039"/>
    <mergeCell ref="Q1038:R1038"/>
    <mergeCell ref="S1038:V1038"/>
    <mergeCell ref="X1038:AA1038"/>
    <mergeCell ref="AB1038:AD1038"/>
    <mergeCell ref="B1038:D1038"/>
    <mergeCell ref="E1038:I1038"/>
    <mergeCell ref="J1038:M1038"/>
    <mergeCell ref="N1038:P1038"/>
    <mergeCell ref="AE1036:AG1036"/>
    <mergeCell ref="B1037:D1037"/>
    <mergeCell ref="E1037:I1037"/>
    <mergeCell ref="J1037:M1037"/>
    <mergeCell ref="N1037:P1037"/>
    <mergeCell ref="Q1037:R1037"/>
    <mergeCell ref="S1037:V1037"/>
    <mergeCell ref="X1037:AA1037"/>
    <mergeCell ref="AB1037:AD1037"/>
    <mergeCell ref="AE1037:AG1037"/>
    <mergeCell ref="Q1036:R1036"/>
    <mergeCell ref="S1036:V1036"/>
    <mergeCell ref="X1036:AA1036"/>
    <mergeCell ref="AB1036:AD1036"/>
    <mergeCell ref="B1036:D1036"/>
    <mergeCell ref="E1036:I1036"/>
    <mergeCell ref="J1036:M1036"/>
    <mergeCell ref="N1036:P1036"/>
    <mergeCell ref="AE1034:AG1034"/>
    <mergeCell ref="B1035:D1035"/>
    <mergeCell ref="E1035:I1035"/>
    <mergeCell ref="J1035:M1035"/>
    <mergeCell ref="N1035:P1035"/>
    <mergeCell ref="Q1035:R1035"/>
    <mergeCell ref="S1035:V1035"/>
    <mergeCell ref="X1035:AA1035"/>
    <mergeCell ref="AB1035:AD1035"/>
    <mergeCell ref="AE1035:AG1035"/>
    <mergeCell ref="Q1034:R1034"/>
    <mergeCell ref="S1034:V1034"/>
    <mergeCell ref="X1034:AA1034"/>
    <mergeCell ref="AB1034:AD1034"/>
    <mergeCell ref="B1034:D1034"/>
    <mergeCell ref="E1034:I1034"/>
    <mergeCell ref="J1034:M1034"/>
    <mergeCell ref="N1034:P1034"/>
    <mergeCell ref="AE1032:AG1032"/>
    <mergeCell ref="B1033:D1033"/>
    <mergeCell ref="E1033:I1033"/>
    <mergeCell ref="J1033:M1033"/>
    <mergeCell ref="N1033:P1033"/>
    <mergeCell ref="Q1033:R1033"/>
    <mergeCell ref="S1033:V1033"/>
    <mergeCell ref="X1033:AA1033"/>
    <mergeCell ref="AB1033:AD1033"/>
    <mergeCell ref="AE1033:AG1033"/>
    <mergeCell ref="Q1032:R1032"/>
    <mergeCell ref="S1032:V1032"/>
    <mergeCell ref="X1032:AA1032"/>
    <mergeCell ref="AB1032:AD1032"/>
    <mergeCell ref="B1032:D1032"/>
    <mergeCell ref="E1032:I1032"/>
    <mergeCell ref="J1032:M1032"/>
    <mergeCell ref="N1032:P1032"/>
    <mergeCell ref="AE1030:AG1030"/>
    <mergeCell ref="B1031:D1031"/>
    <mergeCell ref="E1031:I1031"/>
    <mergeCell ref="J1031:M1031"/>
    <mergeCell ref="N1031:P1031"/>
    <mergeCell ref="Q1031:R1031"/>
    <mergeCell ref="S1031:V1031"/>
    <mergeCell ref="X1031:AA1031"/>
    <mergeCell ref="AB1031:AD1031"/>
    <mergeCell ref="AE1031:AG1031"/>
    <mergeCell ref="Q1030:R1030"/>
    <mergeCell ref="S1030:V1030"/>
    <mergeCell ref="X1030:AA1030"/>
    <mergeCell ref="AB1030:AD1030"/>
    <mergeCell ref="B1030:D1030"/>
    <mergeCell ref="E1030:I1030"/>
    <mergeCell ref="J1030:M1030"/>
    <mergeCell ref="N1030:P1030"/>
    <mergeCell ref="AE1028:AG1028"/>
    <mergeCell ref="B1029:D1029"/>
    <mergeCell ref="E1029:I1029"/>
    <mergeCell ref="J1029:M1029"/>
    <mergeCell ref="N1029:P1029"/>
    <mergeCell ref="Q1029:R1029"/>
    <mergeCell ref="S1029:V1029"/>
    <mergeCell ref="X1029:AA1029"/>
    <mergeCell ref="AB1029:AD1029"/>
    <mergeCell ref="AE1029:AG1029"/>
    <mergeCell ref="Q1028:R1028"/>
    <mergeCell ref="S1028:V1028"/>
    <mergeCell ref="X1028:AA1028"/>
    <mergeCell ref="AB1028:AD1028"/>
    <mergeCell ref="B1028:D1028"/>
    <mergeCell ref="E1028:I1028"/>
    <mergeCell ref="J1028:M1028"/>
    <mergeCell ref="N1028:P1028"/>
    <mergeCell ref="AE1026:AG1026"/>
    <mergeCell ref="B1027:D1027"/>
    <mergeCell ref="E1027:I1027"/>
    <mergeCell ref="J1027:M1027"/>
    <mergeCell ref="N1027:P1027"/>
    <mergeCell ref="Q1027:R1027"/>
    <mergeCell ref="S1027:V1027"/>
    <mergeCell ref="X1027:AA1027"/>
    <mergeCell ref="AB1027:AD1027"/>
    <mergeCell ref="AE1027:AG1027"/>
    <mergeCell ref="Q1026:R1026"/>
    <mergeCell ref="S1026:V1026"/>
    <mergeCell ref="X1026:AA1026"/>
    <mergeCell ref="AB1026:AD1026"/>
    <mergeCell ref="B1026:D1026"/>
    <mergeCell ref="E1026:I1026"/>
    <mergeCell ref="J1026:M1026"/>
    <mergeCell ref="N1026:P1026"/>
    <mergeCell ref="AE1024:AG1024"/>
    <mergeCell ref="B1025:D1025"/>
    <mergeCell ref="E1025:I1025"/>
    <mergeCell ref="J1025:M1025"/>
    <mergeCell ref="N1025:P1025"/>
    <mergeCell ref="Q1025:R1025"/>
    <mergeCell ref="S1025:V1025"/>
    <mergeCell ref="X1025:AA1025"/>
    <mergeCell ref="AB1025:AD1025"/>
    <mergeCell ref="AE1025:AG1025"/>
    <mergeCell ref="Q1024:R1024"/>
    <mergeCell ref="S1024:V1024"/>
    <mergeCell ref="X1024:AA1024"/>
    <mergeCell ref="AB1024:AD1024"/>
    <mergeCell ref="B1024:D1024"/>
    <mergeCell ref="E1024:I1024"/>
    <mergeCell ref="J1024:M1024"/>
    <mergeCell ref="N1024:P1024"/>
    <mergeCell ref="AE1022:AG1022"/>
    <mergeCell ref="B1023:D1023"/>
    <mergeCell ref="E1023:I1023"/>
    <mergeCell ref="J1023:M1023"/>
    <mergeCell ref="N1023:P1023"/>
    <mergeCell ref="Q1023:R1023"/>
    <mergeCell ref="S1023:V1023"/>
    <mergeCell ref="X1023:AA1023"/>
    <mergeCell ref="AB1023:AD1023"/>
    <mergeCell ref="AE1023:AG1023"/>
    <mergeCell ref="Q1022:R1022"/>
    <mergeCell ref="S1022:V1022"/>
    <mergeCell ref="X1022:AA1022"/>
    <mergeCell ref="AB1022:AD1022"/>
    <mergeCell ref="B1022:D1022"/>
    <mergeCell ref="E1022:I1022"/>
    <mergeCell ref="J1022:M1022"/>
    <mergeCell ref="N1022:P1022"/>
    <mergeCell ref="AE1020:AG1020"/>
    <mergeCell ref="B1021:D1021"/>
    <mergeCell ref="E1021:I1021"/>
    <mergeCell ref="J1021:M1021"/>
    <mergeCell ref="N1021:P1021"/>
    <mergeCell ref="Q1021:R1021"/>
    <mergeCell ref="S1021:V1021"/>
    <mergeCell ref="X1021:AA1021"/>
    <mergeCell ref="AB1021:AD1021"/>
    <mergeCell ref="AE1021:AG1021"/>
    <mergeCell ref="Q1020:R1020"/>
    <mergeCell ref="S1020:V1020"/>
    <mergeCell ref="X1020:AA1020"/>
    <mergeCell ref="AB1020:AD1020"/>
    <mergeCell ref="B1020:D1020"/>
    <mergeCell ref="E1020:I1020"/>
    <mergeCell ref="J1020:M1020"/>
    <mergeCell ref="N1020:P1020"/>
    <mergeCell ref="AE1018:AG1018"/>
    <mergeCell ref="B1019:D1019"/>
    <mergeCell ref="E1019:I1019"/>
    <mergeCell ref="J1019:M1019"/>
    <mergeCell ref="N1019:P1019"/>
    <mergeCell ref="Q1019:R1019"/>
    <mergeCell ref="S1019:V1019"/>
    <mergeCell ref="X1019:AA1019"/>
    <mergeCell ref="AB1019:AD1019"/>
    <mergeCell ref="AE1019:AG1019"/>
    <mergeCell ref="Q1018:R1018"/>
    <mergeCell ref="S1018:V1018"/>
    <mergeCell ref="X1018:AA1018"/>
    <mergeCell ref="AB1018:AD1018"/>
    <mergeCell ref="B1018:D1018"/>
    <mergeCell ref="E1018:I1018"/>
    <mergeCell ref="J1018:M1018"/>
    <mergeCell ref="N1018:P1018"/>
    <mergeCell ref="AE1016:AG1016"/>
    <mergeCell ref="B1017:D1017"/>
    <mergeCell ref="E1017:I1017"/>
    <mergeCell ref="J1017:M1017"/>
    <mergeCell ref="N1017:P1017"/>
    <mergeCell ref="Q1017:R1017"/>
    <mergeCell ref="S1017:V1017"/>
    <mergeCell ref="X1017:AA1017"/>
    <mergeCell ref="AB1017:AD1017"/>
    <mergeCell ref="AE1017:AG1017"/>
    <mergeCell ref="Q1016:R1016"/>
    <mergeCell ref="S1016:V1016"/>
    <mergeCell ref="X1016:AA1016"/>
    <mergeCell ref="AB1016:AD1016"/>
    <mergeCell ref="B1016:D1016"/>
    <mergeCell ref="E1016:I1016"/>
    <mergeCell ref="J1016:M1016"/>
    <mergeCell ref="N1016:P1016"/>
    <mergeCell ref="AE1014:AG1014"/>
    <mergeCell ref="B1015:D1015"/>
    <mergeCell ref="E1015:I1015"/>
    <mergeCell ref="J1015:M1015"/>
    <mergeCell ref="N1015:P1015"/>
    <mergeCell ref="Q1015:R1015"/>
    <mergeCell ref="S1015:V1015"/>
    <mergeCell ref="X1015:AA1015"/>
    <mergeCell ref="AB1015:AD1015"/>
    <mergeCell ref="AE1015:AG1015"/>
    <mergeCell ref="Q1014:R1014"/>
    <mergeCell ref="S1014:V1014"/>
    <mergeCell ref="X1014:AA1014"/>
    <mergeCell ref="AB1014:AD1014"/>
    <mergeCell ref="B1014:D1014"/>
    <mergeCell ref="E1014:I1014"/>
    <mergeCell ref="J1014:M1014"/>
    <mergeCell ref="N1014:P1014"/>
    <mergeCell ref="AE1012:AG1012"/>
    <mergeCell ref="B1013:D1013"/>
    <mergeCell ref="E1013:I1013"/>
    <mergeCell ref="J1013:M1013"/>
    <mergeCell ref="N1013:P1013"/>
    <mergeCell ref="Q1013:R1013"/>
    <mergeCell ref="S1013:V1013"/>
    <mergeCell ref="X1013:AA1013"/>
    <mergeCell ref="AB1013:AD1013"/>
    <mergeCell ref="AE1013:AG1013"/>
    <mergeCell ref="Q1012:R1012"/>
    <mergeCell ref="S1012:V1012"/>
    <mergeCell ref="X1012:AA1012"/>
    <mergeCell ref="AB1012:AD1012"/>
    <mergeCell ref="B1012:D1012"/>
    <mergeCell ref="E1012:I1012"/>
    <mergeCell ref="J1012:M1012"/>
    <mergeCell ref="N1012:P1012"/>
    <mergeCell ref="AE1010:AG1010"/>
    <mergeCell ref="B1011:D1011"/>
    <mergeCell ref="E1011:I1011"/>
    <mergeCell ref="J1011:M1011"/>
    <mergeCell ref="N1011:P1011"/>
    <mergeCell ref="Q1011:R1011"/>
    <mergeCell ref="S1011:V1011"/>
    <mergeCell ref="X1011:AA1011"/>
    <mergeCell ref="AB1011:AD1011"/>
    <mergeCell ref="AE1011:AG1011"/>
    <mergeCell ref="Q1010:R1010"/>
    <mergeCell ref="S1010:V1010"/>
    <mergeCell ref="X1010:AA1010"/>
    <mergeCell ref="AB1010:AD1010"/>
    <mergeCell ref="B1010:D1010"/>
    <mergeCell ref="E1010:I1010"/>
    <mergeCell ref="J1010:M1010"/>
    <mergeCell ref="N1010:P1010"/>
    <mergeCell ref="AE1008:AG1008"/>
    <mergeCell ref="B1009:D1009"/>
    <mergeCell ref="E1009:I1009"/>
    <mergeCell ref="J1009:M1009"/>
    <mergeCell ref="N1009:P1009"/>
    <mergeCell ref="Q1009:R1009"/>
    <mergeCell ref="S1009:V1009"/>
    <mergeCell ref="X1009:AA1009"/>
    <mergeCell ref="AB1009:AD1009"/>
    <mergeCell ref="AE1009:AG1009"/>
    <mergeCell ref="Q1008:R1008"/>
    <mergeCell ref="S1008:V1008"/>
    <mergeCell ref="X1008:AA1008"/>
    <mergeCell ref="AB1008:AD1008"/>
    <mergeCell ref="B1008:D1008"/>
    <mergeCell ref="E1008:I1008"/>
    <mergeCell ref="J1008:M1008"/>
    <mergeCell ref="N1008:P1008"/>
    <mergeCell ref="AE1006:AG1006"/>
    <mergeCell ref="B1007:D1007"/>
    <mergeCell ref="E1007:I1007"/>
    <mergeCell ref="J1007:M1007"/>
    <mergeCell ref="N1007:P1007"/>
    <mergeCell ref="Q1007:R1007"/>
    <mergeCell ref="S1007:V1007"/>
    <mergeCell ref="X1007:AA1007"/>
    <mergeCell ref="AB1007:AD1007"/>
    <mergeCell ref="AE1007:AG1007"/>
    <mergeCell ref="Q1006:R1006"/>
    <mergeCell ref="S1006:V1006"/>
    <mergeCell ref="X1006:AA1006"/>
    <mergeCell ref="AB1006:AD1006"/>
    <mergeCell ref="B1006:D1006"/>
    <mergeCell ref="E1006:I1006"/>
    <mergeCell ref="J1006:M1006"/>
    <mergeCell ref="N1006:P1006"/>
    <mergeCell ref="AE1004:AG1004"/>
    <mergeCell ref="B1005:D1005"/>
    <mergeCell ref="E1005:I1005"/>
    <mergeCell ref="J1005:M1005"/>
    <mergeCell ref="N1005:P1005"/>
    <mergeCell ref="Q1005:R1005"/>
    <mergeCell ref="S1005:V1005"/>
    <mergeCell ref="X1005:AA1005"/>
    <mergeCell ref="AB1005:AD1005"/>
    <mergeCell ref="AE1005:AG1005"/>
    <mergeCell ref="Q1004:R1004"/>
    <mergeCell ref="S1004:V1004"/>
    <mergeCell ref="X1004:AA1004"/>
    <mergeCell ref="AB1004:AD1004"/>
    <mergeCell ref="B1004:D1004"/>
    <mergeCell ref="E1004:I1004"/>
    <mergeCell ref="J1004:M1004"/>
    <mergeCell ref="N1004:P1004"/>
    <mergeCell ref="AE1002:AG1002"/>
    <mergeCell ref="B1003:D1003"/>
    <mergeCell ref="E1003:I1003"/>
    <mergeCell ref="J1003:M1003"/>
    <mergeCell ref="N1003:P1003"/>
    <mergeCell ref="Q1003:R1003"/>
    <mergeCell ref="S1003:V1003"/>
    <mergeCell ref="X1003:AA1003"/>
    <mergeCell ref="AB1003:AD1003"/>
    <mergeCell ref="AE1003:AG1003"/>
    <mergeCell ref="Q1002:R1002"/>
    <mergeCell ref="S1002:V1002"/>
    <mergeCell ref="X1002:AA1002"/>
    <mergeCell ref="AB1002:AD1002"/>
    <mergeCell ref="B1002:D1002"/>
    <mergeCell ref="E1002:I1002"/>
    <mergeCell ref="J1002:M1002"/>
    <mergeCell ref="N1002:P1002"/>
    <mergeCell ref="AE1000:AG1000"/>
    <mergeCell ref="B1001:D1001"/>
    <mergeCell ref="E1001:I1001"/>
    <mergeCell ref="J1001:M1001"/>
    <mergeCell ref="N1001:P1001"/>
    <mergeCell ref="Q1001:R1001"/>
    <mergeCell ref="S1001:V1001"/>
    <mergeCell ref="X1001:AA1001"/>
    <mergeCell ref="AB1001:AD1001"/>
    <mergeCell ref="AE1001:AG1001"/>
    <mergeCell ref="Q1000:R1000"/>
    <mergeCell ref="S1000:V1000"/>
    <mergeCell ref="X1000:AA1000"/>
    <mergeCell ref="AB1000:AD1000"/>
    <mergeCell ref="B1000:D1000"/>
    <mergeCell ref="E1000:I1000"/>
    <mergeCell ref="J1000:M1000"/>
    <mergeCell ref="N1000:P1000"/>
    <mergeCell ref="AE998:AG998"/>
    <mergeCell ref="B999:D999"/>
    <mergeCell ref="E999:I999"/>
    <mergeCell ref="J999:M999"/>
    <mergeCell ref="N999:P999"/>
    <mergeCell ref="Q999:R999"/>
    <mergeCell ref="S999:V999"/>
    <mergeCell ref="X999:AA999"/>
    <mergeCell ref="AB999:AD999"/>
    <mergeCell ref="AE999:AG999"/>
    <mergeCell ref="Q998:R998"/>
    <mergeCell ref="S998:V998"/>
    <mergeCell ref="X998:AA998"/>
    <mergeCell ref="AB998:AD998"/>
    <mergeCell ref="B998:D998"/>
    <mergeCell ref="E998:I998"/>
    <mergeCell ref="J998:M998"/>
    <mergeCell ref="N998:P998"/>
    <mergeCell ref="AE996:AG996"/>
    <mergeCell ref="B997:D997"/>
    <mergeCell ref="E997:I997"/>
    <mergeCell ref="J997:M997"/>
    <mergeCell ref="N997:P997"/>
    <mergeCell ref="Q997:R997"/>
    <mergeCell ref="S997:V997"/>
    <mergeCell ref="X997:AA997"/>
    <mergeCell ref="AB997:AD997"/>
    <mergeCell ref="AE997:AG997"/>
    <mergeCell ref="Q996:R996"/>
    <mergeCell ref="S996:V996"/>
    <mergeCell ref="X996:AA996"/>
    <mergeCell ref="AB996:AD996"/>
    <mergeCell ref="B996:D996"/>
    <mergeCell ref="E996:I996"/>
    <mergeCell ref="J996:M996"/>
    <mergeCell ref="N996:P996"/>
    <mergeCell ref="AE994:AG994"/>
    <mergeCell ref="B995:D995"/>
    <mergeCell ref="E995:I995"/>
    <mergeCell ref="J995:M995"/>
    <mergeCell ref="N995:P995"/>
    <mergeCell ref="Q995:R995"/>
    <mergeCell ref="S995:V995"/>
    <mergeCell ref="X995:AA995"/>
    <mergeCell ref="AB995:AD995"/>
    <mergeCell ref="AE995:AG995"/>
    <mergeCell ref="Q994:R994"/>
    <mergeCell ref="S994:V994"/>
    <mergeCell ref="X994:AA994"/>
    <mergeCell ref="AB994:AD994"/>
    <mergeCell ref="B994:D994"/>
    <mergeCell ref="E994:I994"/>
    <mergeCell ref="J994:M994"/>
    <mergeCell ref="N994:P994"/>
    <mergeCell ref="AE992:AG992"/>
    <mergeCell ref="B993:D993"/>
    <mergeCell ref="E993:I993"/>
    <mergeCell ref="J993:M993"/>
    <mergeCell ref="N993:P993"/>
    <mergeCell ref="Q993:R993"/>
    <mergeCell ref="S993:V993"/>
    <mergeCell ref="X993:AA993"/>
    <mergeCell ref="AB993:AD993"/>
    <mergeCell ref="AE993:AG993"/>
    <mergeCell ref="Q992:R992"/>
    <mergeCell ref="S992:V992"/>
    <mergeCell ref="X992:AA992"/>
    <mergeCell ref="AB992:AD992"/>
    <mergeCell ref="B992:D992"/>
    <mergeCell ref="E992:I992"/>
    <mergeCell ref="J992:M992"/>
    <mergeCell ref="N992:P992"/>
    <mergeCell ref="AE990:AG990"/>
    <mergeCell ref="B991:D991"/>
    <mergeCell ref="E991:I991"/>
    <mergeCell ref="J991:M991"/>
    <mergeCell ref="N991:P991"/>
    <mergeCell ref="Q991:R991"/>
    <mergeCell ref="S991:V991"/>
    <mergeCell ref="X991:AA991"/>
    <mergeCell ref="AB991:AD991"/>
    <mergeCell ref="AE991:AG991"/>
    <mergeCell ref="Q990:R990"/>
    <mergeCell ref="S990:V990"/>
    <mergeCell ref="X990:AA990"/>
    <mergeCell ref="AB990:AD990"/>
    <mergeCell ref="B990:D990"/>
    <mergeCell ref="E990:I990"/>
    <mergeCell ref="J990:M990"/>
    <mergeCell ref="N990:P990"/>
    <mergeCell ref="AE988:AG988"/>
    <mergeCell ref="B989:D989"/>
    <mergeCell ref="E989:I989"/>
    <mergeCell ref="J989:M989"/>
    <mergeCell ref="N989:P989"/>
    <mergeCell ref="Q989:R989"/>
    <mergeCell ref="S989:V989"/>
    <mergeCell ref="X989:AA989"/>
    <mergeCell ref="AB989:AD989"/>
    <mergeCell ref="AE989:AG989"/>
    <mergeCell ref="Q988:R988"/>
    <mergeCell ref="S988:V988"/>
    <mergeCell ref="X988:AA988"/>
    <mergeCell ref="AB988:AD988"/>
    <mergeCell ref="B988:D988"/>
    <mergeCell ref="E988:I988"/>
    <mergeCell ref="J988:M988"/>
    <mergeCell ref="N988:P988"/>
    <mergeCell ref="AE986:AG986"/>
    <mergeCell ref="B987:D987"/>
    <mergeCell ref="E987:I987"/>
    <mergeCell ref="J987:M987"/>
    <mergeCell ref="N987:P987"/>
    <mergeCell ref="Q987:R987"/>
    <mergeCell ref="S987:V987"/>
    <mergeCell ref="X987:AA987"/>
    <mergeCell ref="AB987:AD987"/>
    <mergeCell ref="AE987:AG987"/>
    <mergeCell ref="Q986:R986"/>
    <mergeCell ref="S986:V986"/>
    <mergeCell ref="X986:AA986"/>
    <mergeCell ref="AB986:AD986"/>
    <mergeCell ref="B986:D986"/>
    <mergeCell ref="E986:I986"/>
    <mergeCell ref="J986:M986"/>
    <mergeCell ref="N986:P986"/>
    <mergeCell ref="AE984:AG984"/>
    <mergeCell ref="B985:D985"/>
    <mergeCell ref="E985:I985"/>
    <mergeCell ref="J985:M985"/>
    <mergeCell ref="N985:P985"/>
    <mergeCell ref="Q985:R985"/>
    <mergeCell ref="S985:V985"/>
    <mergeCell ref="X985:AA985"/>
    <mergeCell ref="AB985:AD985"/>
    <mergeCell ref="AE985:AG985"/>
    <mergeCell ref="Q984:R984"/>
    <mergeCell ref="S984:V984"/>
    <mergeCell ref="X984:AA984"/>
    <mergeCell ref="AB984:AD984"/>
    <mergeCell ref="B984:D984"/>
    <mergeCell ref="E984:I984"/>
    <mergeCell ref="J984:M984"/>
    <mergeCell ref="N984:P984"/>
    <mergeCell ref="AE982:AG982"/>
    <mergeCell ref="B983:D983"/>
    <mergeCell ref="E983:I983"/>
    <mergeCell ref="J983:M983"/>
    <mergeCell ref="N983:P983"/>
    <mergeCell ref="Q983:R983"/>
    <mergeCell ref="S983:V983"/>
    <mergeCell ref="X983:AA983"/>
    <mergeCell ref="AB983:AD983"/>
    <mergeCell ref="AE983:AG983"/>
    <mergeCell ref="Q982:R982"/>
    <mergeCell ref="S982:V982"/>
    <mergeCell ref="X982:AA982"/>
    <mergeCell ref="AB982:AD982"/>
    <mergeCell ref="B982:D982"/>
    <mergeCell ref="E982:I982"/>
    <mergeCell ref="J982:M982"/>
    <mergeCell ref="N982:P982"/>
    <mergeCell ref="AE980:AG980"/>
    <mergeCell ref="B981:D981"/>
    <mergeCell ref="E981:I981"/>
    <mergeCell ref="J981:M981"/>
    <mergeCell ref="N981:P981"/>
    <mergeCell ref="Q981:R981"/>
    <mergeCell ref="S981:V981"/>
    <mergeCell ref="X981:AA981"/>
    <mergeCell ref="AB981:AD981"/>
    <mergeCell ref="AE981:AG981"/>
    <mergeCell ref="Q980:R980"/>
    <mergeCell ref="S980:V980"/>
    <mergeCell ref="X980:AA980"/>
    <mergeCell ref="AB980:AD980"/>
    <mergeCell ref="B980:D980"/>
    <mergeCell ref="E980:I980"/>
    <mergeCell ref="J980:M980"/>
    <mergeCell ref="N980:P980"/>
    <mergeCell ref="AE978:AG978"/>
    <mergeCell ref="B979:D979"/>
    <mergeCell ref="E979:I979"/>
    <mergeCell ref="J979:M979"/>
    <mergeCell ref="N979:P979"/>
    <mergeCell ref="Q979:R979"/>
    <mergeCell ref="S979:V979"/>
    <mergeCell ref="X979:AA979"/>
    <mergeCell ref="AB979:AD979"/>
    <mergeCell ref="AE979:AG979"/>
    <mergeCell ref="Q978:R978"/>
    <mergeCell ref="S978:V978"/>
    <mergeCell ref="X978:AA978"/>
    <mergeCell ref="AB978:AD978"/>
    <mergeCell ref="B978:D978"/>
    <mergeCell ref="E978:I978"/>
    <mergeCell ref="J978:M978"/>
    <mergeCell ref="N978:P978"/>
    <mergeCell ref="AE976:AG976"/>
    <mergeCell ref="B977:D977"/>
    <mergeCell ref="E977:I977"/>
    <mergeCell ref="J977:M977"/>
    <mergeCell ref="N977:P977"/>
    <mergeCell ref="Q977:R977"/>
    <mergeCell ref="S977:V977"/>
    <mergeCell ref="X977:AA977"/>
    <mergeCell ref="AB977:AD977"/>
    <mergeCell ref="AE977:AG977"/>
    <mergeCell ref="Q976:R976"/>
    <mergeCell ref="S976:V976"/>
    <mergeCell ref="X976:AA976"/>
    <mergeCell ref="AB976:AD976"/>
    <mergeCell ref="B976:D976"/>
    <mergeCell ref="E976:I976"/>
    <mergeCell ref="J976:M976"/>
    <mergeCell ref="N976:P976"/>
    <mergeCell ref="AE974:AG974"/>
    <mergeCell ref="B975:D975"/>
    <mergeCell ref="E975:I975"/>
    <mergeCell ref="J975:M975"/>
    <mergeCell ref="N975:P975"/>
    <mergeCell ref="Q975:R975"/>
    <mergeCell ref="S975:V975"/>
    <mergeCell ref="X975:AA975"/>
    <mergeCell ref="AB975:AD975"/>
    <mergeCell ref="AE975:AG975"/>
    <mergeCell ref="Q974:R974"/>
    <mergeCell ref="S974:V974"/>
    <mergeCell ref="X974:AA974"/>
    <mergeCell ref="AB974:AD974"/>
    <mergeCell ref="B974:D974"/>
    <mergeCell ref="E974:I974"/>
    <mergeCell ref="J974:M974"/>
    <mergeCell ref="N974:P974"/>
    <mergeCell ref="AE972:AG972"/>
    <mergeCell ref="B973:D973"/>
    <mergeCell ref="E973:I973"/>
    <mergeCell ref="J973:M973"/>
    <mergeCell ref="N973:P973"/>
    <mergeCell ref="Q973:R973"/>
    <mergeCell ref="S973:V973"/>
    <mergeCell ref="X973:AA973"/>
    <mergeCell ref="AB973:AD973"/>
    <mergeCell ref="AE973:AG973"/>
    <mergeCell ref="Q972:R972"/>
    <mergeCell ref="S972:V972"/>
    <mergeCell ref="X972:AA972"/>
    <mergeCell ref="AB972:AD972"/>
    <mergeCell ref="B972:D972"/>
    <mergeCell ref="E972:I972"/>
    <mergeCell ref="J972:M972"/>
    <mergeCell ref="N972:P972"/>
    <mergeCell ref="AE970:AG970"/>
    <mergeCell ref="B971:D971"/>
    <mergeCell ref="E971:I971"/>
    <mergeCell ref="J971:M971"/>
    <mergeCell ref="N971:P971"/>
    <mergeCell ref="Q971:R971"/>
    <mergeCell ref="S971:V971"/>
    <mergeCell ref="X971:AA971"/>
    <mergeCell ref="AB971:AD971"/>
    <mergeCell ref="AE971:AG971"/>
    <mergeCell ref="Q970:R970"/>
    <mergeCell ref="S970:V970"/>
    <mergeCell ref="X970:AA970"/>
    <mergeCell ref="AB970:AD970"/>
    <mergeCell ref="B970:D970"/>
    <mergeCell ref="E970:I970"/>
    <mergeCell ref="J970:M970"/>
    <mergeCell ref="N970:P970"/>
    <mergeCell ref="AE968:AG968"/>
    <mergeCell ref="B969:D969"/>
    <mergeCell ref="E969:I969"/>
    <mergeCell ref="J969:M969"/>
    <mergeCell ref="N969:P969"/>
    <mergeCell ref="Q969:R969"/>
    <mergeCell ref="S969:V969"/>
    <mergeCell ref="X969:AA969"/>
    <mergeCell ref="AB969:AD969"/>
    <mergeCell ref="AE969:AG969"/>
    <mergeCell ref="Q968:R968"/>
    <mergeCell ref="S968:V968"/>
    <mergeCell ref="X968:AA968"/>
    <mergeCell ref="AB968:AD968"/>
    <mergeCell ref="B968:D968"/>
    <mergeCell ref="E968:I968"/>
    <mergeCell ref="J968:M968"/>
    <mergeCell ref="N968:P968"/>
    <mergeCell ref="AE966:AG966"/>
    <mergeCell ref="B967:D967"/>
    <mergeCell ref="E967:I967"/>
    <mergeCell ref="J967:M967"/>
    <mergeCell ref="N967:P967"/>
    <mergeCell ref="Q967:R967"/>
    <mergeCell ref="S967:V967"/>
    <mergeCell ref="X967:AA967"/>
    <mergeCell ref="AB967:AD967"/>
    <mergeCell ref="AE967:AG967"/>
    <mergeCell ref="Q966:R966"/>
    <mergeCell ref="S966:V966"/>
    <mergeCell ref="X966:AA966"/>
    <mergeCell ref="AB966:AD966"/>
    <mergeCell ref="B966:D966"/>
    <mergeCell ref="E966:I966"/>
    <mergeCell ref="J966:M966"/>
    <mergeCell ref="N966:P966"/>
    <mergeCell ref="AE964:AG964"/>
    <mergeCell ref="B965:D965"/>
    <mergeCell ref="E965:I965"/>
    <mergeCell ref="J965:M965"/>
    <mergeCell ref="N965:P965"/>
    <mergeCell ref="Q965:R965"/>
    <mergeCell ref="S965:V965"/>
    <mergeCell ref="X965:AA965"/>
    <mergeCell ref="AB965:AD965"/>
    <mergeCell ref="AE965:AG965"/>
    <mergeCell ref="Q964:R964"/>
    <mergeCell ref="S964:V964"/>
    <mergeCell ref="X964:AA964"/>
    <mergeCell ref="AB964:AD964"/>
    <mergeCell ref="B964:D964"/>
    <mergeCell ref="E964:I964"/>
    <mergeCell ref="J964:M964"/>
    <mergeCell ref="N964:P964"/>
    <mergeCell ref="AE962:AG962"/>
    <mergeCell ref="B963:D963"/>
    <mergeCell ref="E963:I963"/>
    <mergeCell ref="J963:M963"/>
    <mergeCell ref="N963:P963"/>
    <mergeCell ref="Q963:R963"/>
    <mergeCell ref="S963:V963"/>
    <mergeCell ref="X963:AA963"/>
    <mergeCell ref="AB963:AD963"/>
    <mergeCell ref="AE963:AG963"/>
    <mergeCell ref="Q962:R962"/>
    <mergeCell ref="S962:V962"/>
    <mergeCell ref="X962:AA962"/>
    <mergeCell ref="AB962:AD962"/>
    <mergeCell ref="B962:D962"/>
    <mergeCell ref="E962:I962"/>
    <mergeCell ref="J962:M962"/>
    <mergeCell ref="N962:P962"/>
    <mergeCell ref="AE960:AG960"/>
    <mergeCell ref="B961:D961"/>
    <mergeCell ref="E961:I961"/>
    <mergeCell ref="J961:M961"/>
    <mergeCell ref="N961:P961"/>
    <mergeCell ref="Q961:R961"/>
    <mergeCell ref="S961:V961"/>
    <mergeCell ref="X961:AA961"/>
    <mergeCell ref="AB961:AD961"/>
    <mergeCell ref="AE961:AG961"/>
    <mergeCell ref="Q960:R960"/>
    <mergeCell ref="S960:V960"/>
    <mergeCell ref="X960:AA960"/>
    <mergeCell ref="AB960:AD960"/>
    <mergeCell ref="B960:D960"/>
    <mergeCell ref="E960:I960"/>
    <mergeCell ref="J960:M960"/>
    <mergeCell ref="N960:P960"/>
    <mergeCell ref="AE958:AG958"/>
    <mergeCell ref="B959:D959"/>
    <mergeCell ref="E959:I959"/>
    <mergeCell ref="J959:M959"/>
    <mergeCell ref="N959:P959"/>
    <mergeCell ref="Q959:R959"/>
    <mergeCell ref="S959:V959"/>
    <mergeCell ref="X959:AA959"/>
    <mergeCell ref="AB959:AD959"/>
    <mergeCell ref="AE959:AG959"/>
    <mergeCell ref="Q958:R958"/>
    <mergeCell ref="S958:V958"/>
    <mergeCell ref="X958:AA958"/>
    <mergeCell ref="AB958:AD958"/>
    <mergeCell ref="B958:D958"/>
    <mergeCell ref="E958:I958"/>
    <mergeCell ref="J958:M958"/>
    <mergeCell ref="N958:P958"/>
    <mergeCell ref="AE956:AG956"/>
    <mergeCell ref="B957:D957"/>
    <mergeCell ref="E957:I957"/>
    <mergeCell ref="J957:M957"/>
    <mergeCell ref="N957:P957"/>
    <mergeCell ref="Q957:R957"/>
    <mergeCell ref="S957:V957"/>
    <mergeCell ref="X957:AA957"/>
    <mergeCell ref="AB957:AD957"/>
    <mergeCell ref="AE957:AG957"/>
    <mergeCell ref="Q956:R956"/>
    <mergeCell ref="S956:V956"/>
    <mergeCell ref="X956:AA956"/>
    <mergeCell ref="AB956:AD956"/>
    <mergeCell ref="B956:D956"/>
    <mergeCell ref="E956:I956"/>
    <mergeCell ref="J956:M956"/>
    <mergeCell ref="N956:P956"/>
    <mergeCell ref="AE954:AG954"/>
    <mergeCell ref="B955:D955"/>
    <mergeCell ref="E955:I955"/>
    <mergeCell ref="J955:M955"/>
    <mergeCell ref="N955:P955"/>
    <mergeCell ref="Q955:R955"/>
    <mergeCell ref="S955:V955"/>
    <mergeCell ref="X955:AA955"/>
    <mergeCell ref="AB955:AD955"/>
    <mergeCell ref="AE955:AG955"/>
    <mergeCell ref="Q954:R954"/>
    <mergeCell ref="S954:V954"/>
    <mergeCell ref="X954:AA954"/>
    <mergeCell ref="AB954:AD954"/>
    <mergeCell ref="B954:D954"/>
    <mergeCell ref="E954:I954"/>
    <mergeCell ref="J954:M954"/>
    <mergeCell ref="N954:P954"/>
    <mergeCell ref="AE952:AG952"/>
    <mergeCell ref="B953:D953"/>
    <mergeCell ref="E953:I953"/>
    <mergeCell ref="J953:M953"/>
    <mergeCell ref="N953:P953"/>
    <mergeCell ref="Q953:R953"/>
    <mergeCell ref="S953:V953"/>
    <mergeCell ref="X953:AA953"/>
    <mergeCell ref="AB953:AD953"/>
    <mergeCell ref="AE953:AG953"/>
    <mergeCell ref="Q952:R952"/>
    <mergeCell ref="S952:V952"/>
    <mergeCell ref="X952:AA952"/>
    <mergeCell ref="AB952:AD952"/>
    <mergeCell ref="B952:D952"/>
    <mergeCell ref="E952:I952"/>
    <mergeCell ref="J952:M952"/>
    <mergeCell ref="N952:P952"/>
    <mergeCell ref="AE950:AG950"/>
    <mergeCell ref="B951:D951"/>
    <mergeCell ref="E951:I951"/>
    <mergeCell ref="J951:M951"/>
    <mergeCell ref="N951:P951"/>
    <mergeCell ref="Q951:R951"/>
    <mergeCell ref="S951:V951"/>
    <mergeCell ref="X951:AA951"/>
    <mergeCell ref="AB951:AD951"/>
    <mergeCell ref="AE951:AG951"/>
    <mergeCell ref="Q950:R950"/>
    <mergeCell ref="S950:V950"/>
    <mergeCell ref="X950:AA950"/>
    <mergeCell ref="AB950:AD950"/>
    <mergeCell ref="B950:D950"/>
    <mergeCell ref="E950:I950"/>
    <mergeCell ref="J950:M950"/>
    <mergeCell ref="N950:P950"/>
    <mergeCell ref="AE948:AG948"/>
    <mergeCell ref="B949:D949"/>
    <mergeCell ref="E949:I949"/>
    <mergeCell ref="J949:M949"/>
    <mergeCell ref="N949:P949"/>
    <mergeCell ref="Q949:R949"/>
    <mergeCell ref="S949:V949"/>
    <mergeCell ref="X949:AA949"/>
    <mergeCell ref="AB949:AD949"/>
    <mergeCell ref="AE949:AG949"/>
    <mergeCell ref="Q948:R948"/>
    <mergeCell ref="S948:V948"/>
    <mergeCell ref="X948:AA948"/>
    <mergeCell ref="AB948:AD948"/>
    <mergeCell ref="B948:D948"/>
    <mergeCell ref="E948:I948"/>
    <mergeCell ref="J948:M948"/>
    <mergeCell ref="N948:P948"/>
    <mergeCell ref="AE946:AG946"/>
    <mergeCell ref="B947:D947"/>
    <mergeCell ref="E947:I947"/>
    <mergeCell ref="J947:M947"/>
    <mergeCell ref="N947:P947"/>
    <mergeCell ref="Q947:R947"/>
    <mergeCell ref="S947:V947"/>
    <mergeCell ref="X947:AA947"/>
    <mergeCell ref="AB947:AD947"/>
    <mergeCell ref="AE947:AG947"/>
    <mergeCell ref="Q946:R946"/>
    <mergeCell ref="S946:V946"/>
    <mergeCell ref="X946:AA946"/>
    <mergeCell ref="AB946:AD946"/>
    <mergeCell ref="B946:D946"/>
    <mergeCell ref="E946:I946"/>
    <mergeCell ref="J946:M946"/>
    <mergeCell ref="N946:P946"/>
    <mergeCell ref="AE944:AG944"/>
    <mergeCell ref="B945:D945"/>
    <mergeCell ref="E945:I945"/>
    <mergeCell ref="J945:M945"/>
    <mergeCell ref="N945:P945"/>
    <mergeCell ref="Q945:R945"/>
    <mergeCell ref="S945:V945"/>
    <mergeCell ref="X945:AA945"/>
    <mergeCell ref="AB945:AD945"/>
    <mergeCell ref="AE945:AG945"/>
    <mergeCell ref="Q944:R944"/>
    <mergeCell ref="S944:V944"/>
    <mergeCell ref="X944:AA944"/>
    <mergeCell ref="AB944:AD944"/>
    <mergeCell ref="B944:D944"/>
    <mergeCell ref="E944:I944"/>
    <mergeCell ref="J944:M944"/>
    <mergeCell ref="N944:P944"/>
    <mergeCell ref="AE942:AG942"/>
    <mergeCell ref="B943:D943"/>
    <mergeCell ref="E943:I943"/>
    <mergeCell ref="J943:M943"/>
    <mergeCell ref="N943:P943"/>
    <mergeCell ref="Q943:R943"/>
    <mergeCell ref="S943:V943"/>
    <mergeCell ref="X943:AA943"/>
    <mergeCell ref="AB943:AD943"/>
    <mergeCell ref="AE943:AG943"/>
    <mergeCell ref="Q942:R942"/>
    <mergeCell ref="S942:V942"/>
    <mergeCell ref="X942:AA942"/>
    <mergeCell ref="AB942:AD942"/>
    <mergeCell ref="B942:D942"/>
    <mergeCell ref="E942:I942"/>
    <mergeCell ref="J942:M942"/>
    <mergeCell ref="N942:P942"/>
    <mergeCell ref="AE940:AG940"/>
    <mergeCell ref="B941:D941"/>
    <mergeCell ref="E941:I941"/>
    <mergeCell ref="J941:M941"/>
    <mergeCell ref="N941:P941"/>
    <mergeCell ref="Q941:R941"/>
    <mergeCell ref="S941:V941"/>
    <mergeCell ref="X941:AA941"/>
    <mergeCell ref="AB941:AD941"/>
    <mergeCell ref="AE941:AG941"/>
    <mergeCell ref="Q940:R940"/>
    <mergeCell ref="S940:V940"/>
    <mergeCell ref="X940:AA940"/>
    <mergeCell ref="AB940:AD940"/>
    <mergeCell ref="B940:D940"/>
    <mergeCell ref="E940:I940"/>
    <mergeCell ref="J940:M940"/>
    <mergeCell ref="N940:P940"/>
    <mergeCell ref="AE938:AG938"/>
    <mergeCell ref="B939:D939"/>
    <mergeCell ref="E939:I939"/>
    <mergeCell ref="J939:M939"/>
    <mergeCell ref="N939:P939"/>
    <mergeCell ref="Q939:R939"/>
    <mergeCell ref="S939:V939"/>
    <mergeCell ref="X939:AA939"/>
    <mergeCell ref="AB939:AD939"/>
    <mergeCell ref="AE939:AG939"/>
    <mergeCell ref="Q938:R938"/>
    <mergeCell ref="S938:V938"/>
    <mergeCell ref="X938:AA938"/>
    <mergeCell ref="AB938:AD938"/>
    <mergeCell ref="B938:D938"/>
    <mergeCell ref="E938:I938"/>
    <mergeCell ref="J938:M938"/>
    <mergeCell ref="N938:P938"/>
    <mergeCell ref="AE936:AG936"/>
    <mergeCell ref="B937:D937"/>
    <mergeCell ref="E937:I937"/>
    <mergeCell ref="J937:M937"/>
    <mergeCell ref="N937:P937"/>
    <mergeCell ref="Q937:R937"/>
    <mergeCell ref="S937:V937"/>
    <mergeCell ref="X937:AA937"/>
    <mergeCell ref="AB937:AD937"/>
    <mergeCell ref="AE937:AG937"/>
    <mergeCell ref="Q936:R936"/>
    <mergeCell ref="S936:V936"/>
    <mergeCell ref="X936:AA936"/>
    <mergeCell ref="AB936:AD936"/>
    <mergeCell ref="B936:D936"/>
    <mergeCell ref="E936:I936"/>
    <mergeCell ref="J936:M936"/>
    <mergeCell ref="N936:P936"/>
    <mergeCell ref="AE934:AG934"/>
    <mergeCell ref="B935:D935"/>
    <mergeCell ref="E935:I935"/>
    <mergeCell ref="J935:M935"/>
    <mergeCell ref="N935:P935"/>
    <mergeCell ref="Q935:R935"/>
    <mergeCell ref="S935:V935"/>
    <mergeCell ref="X935:AA935"/>
    <mergeCell ref="AB935:AD935"/>
    <mergeCell ref="AE935:AG935"/>
    <mergeCell ref="Q934:R934"/>
    <mergeCell ref="S934:V934"/>
    <mergeCell ref="X934:AA934"/>
    <mergeCell ref="AB934:AD934"/>
    <mergeCell ref="B934:D934"/>
    <mergeCell ref="E934:I934"/>
    <mergeCell ref="J934:M934"/>
    <mergeCell ref="N934:P934"/>
    <mergeCell ref="AE932:AG932"/>
    <mergeCell ref="B933:D933"/>
    <mergeCell ref="E933:I933"/>
    <mergeCell ref="J933:M933"/>
    <mergeCell ref="N933:P933"/>
    <mergeCell ref="Q933:R933"/>
    <mergeCell ref="S933:V933"/>
    <mergeCell ref="X933:AA933"/>
    <mergeCell ref="AB933:AD933"/>
    <mergeCell ref="AE933:AG933"/>
    <mergeCell ref="Q932:R932"/>
    <mergeCell ref="S932:V932"/>
    <mergeCell ref="X932:AA932"/>
    <mergeCell ref="AB932:AD932"/>
    <mergeCell ref="B932:D932"/>
    <mergeCell ref="E932:I932"/>
    <mergeCell ref="J932:M932"/>
    <mergeCell ref="N932:P932"/>
    <mergeCell ref="AE930:AG930"/>
    <mergeCell ref="B931:D931"/>
    <mergeCell ref="E931:I931"/>
    <mergeCell ref="J931:M931"/>
    <mergeCell ref="N931:P931"/>
    <mergeCell ref="Q931:R931"/>
    <mergeCell ref="S931:V931"/>
    <mergeCell ref="X931:AA931"/>
    <mergeCell ref="AB931:AD931"/>
    <mergeCell ref="AE931:AG931"/>
    <mergeCell ref="Q930:R930"/>
    <mergeCell ref="S930:V930"/>
    <mergeCell ref="X930:AA930"/>
    <mergeCell ref="AB930:AD930"/>
    <mergeCell ref="B930:D930"/>
    <mergeCell ref="E930:I930"/>
    <mergeCell ref="J930:M930"/>
    <mergeCell ref="N930:P930"/>
    <mergeCell ref="AE928:AG928"/>
    <mergeCell ref="B929:D929"/>
    <mergeCell ref="E929:I929"/>
    <mergeCell ref="J929:M929"/>
    <mergeCell ref="N929:P929"/>
    <mergeCell ref="Q929:R929"/>
    <mergeCell ref="S929:V929"/>
    <mergeCell ref="X929:AA929"/>
    <mergeCell ref="AB929:AD929"/>
    <mergeCell ref="AE929:AG929"/>
    <mergeCell ref="Q928:R928"/>
    <mergeCell ref="S928:V928"/>
    <mergeCell ref="X928:AA928"/>
    <mergeCell ref="AB928:AD928"/>
    <mergeCell ref="B928:D928"/>
    <mergeCell ref="E928:I928"/>
    <mergeCell ref="J928:M928"/>
    <mergeCell ref="N928:P928"/>
    <mergeCell ref="AE926:AG926"/>
    <mergeCell ref="B927:D927"/>
    <mergeCell ref="E927:I927"/>
    <mergeCell ref="J927:M927"/>
    <mergeCell ref="N927:P927"/>
    <mergeCell ref="Q927:R927"/>
    <mergeCell ref="S927:V927"/>
    <mergeCell ref="X927:AA927"/>
    <mergeCell ref="AB927:AD927"/>
    <mergeCell ref="AE927:AG927"/>
    <mergeCell ref="Q926:R926"/>
    <mergeCell ref="S926:V926"/>
    <mergeCell ref="X926:AA926"/>
    <mergeCell ref="AB926:AD926"/>
    <mergeCell ref="B926:D926"/>
    <mergeCell ref="E926:I926"/>
    <mergeCell ref="J926:M926"/>
    <mergeCell ref="N926:P926"/>
    <mergeCell ref="AE924:AG924"/>
    <mergeCell ref="B925:D925"/>
    <mergeCell ref="E925:I925"/>
    <mergeCell ref="J925:M925"/>
    <mergeCell ref="N925:P925"/>
    <mergeCell ref="Q925:R925"/>
    <mergeCell ref="S925:V925"/>
    <mergeCell ref="X925:AA925"/>
    <mergeCell ref="AB925:AD925"/>
    <mergeCell ref="AE925:AG925"/>
    <mergeCell ref="Q924:R924"/>
    <mergeCell ref="S924:V924"/>
    <mergeCell ref="X924:AA924"/>
    <mergeCell ref="AB924:AD924"/>
    <mergeCell ref="B924:D924"/>
    <mergeCell ref="E924:I924"/>
    <mergeCell ref="J924:M924"/>
    <mergeCell ref="N924:P924"/>
    <mergeCell ref="AE922:AG922"/>
    <mergeCell ref="B923:D923"/>
    <mergeCell ref="E923:I923"/>
    <mergeCell ref="J923:M923"/>
    <mergeCell ref="N923:P923"/>
    <mergeCell ref="Q923:R923"/>
    <mergeCell ref="S923:V923"/>
    <mergeCell ref="X923:AA923"/>
    <mergeCell ref="AB923:AD923"/>
    <mergeCell ref="AE923:AG923"/>
    <mergeCell ref="Q922:R922"/>
    <mergeCell ref="S922:V922"/>
    <mergeCell ref="X922:AA922"/>
    <mergeCell ref="AB922:AD922"/>
    <mergeCell ref="B922:D922"/>
    <mergeCell ref="E922:I922"/>
    <mergeCell ref="J922:M922"/>
    <mergeCell ref="N922:P922"/>
    <mergeCell ref="AE920:AG920"/>
    <mergeCell ref="B921:D921"/>
    <mergeCell ref="E921:I921"/>
    <mergeCell ref="J921:M921"/>
    <mergeCell ref="N921:P921"/>
    <mergeCell ref="Q921:R921"/>
    <mergeCell ref="S921:V921"/>
    <mergeCell ref="X921:AA921"/>
    <mergeCell ref="AB921:AD921"/>
    <mergeCell ref="AE921:AG921"/>
    <mergeCell ref="Q920:R920"/>
    <mergeCell ref="S920:V920"/>
    <mergeCell ref="X920:AA920"/>
    <mergeCell ref="AB920:AD920"/>
    <mergeCell ref="B920:D920"/>
    <mergeCell ref="E920:I920"/>
    <mergeCell ref="J920:M920"/>
    <mergeCell ref="N920:P920"/>
    <mergeCell ref="AE918:AG918"/>
    <mergeCell ref="B919:D919"/>
    <mergeCell ref="E919:I919"/>
    <mergeCell ref="J919:M919"/>
    <mergeCell ref="N919:P919"/>
    <mergeCell ref="Q919:R919"/>
    <mergeCell ref="S919:V919"/>
    <mergeCell ref="X919:AA919"/>
    <mergeCell ref="AB919:AD919"/>
    <mergeCell ref="AE919:AG919"/>
    <mergeCell ref="Q918:R918"/>
    <mergeCell ref="S918:V918"/>
    <mergeCell ref="X918:AA918"/>
    <mergeCell ref="AB918:AD918"/>
    <mergeCell ref="B918:D918"/>
    <mergeCell ref="E918:I918"/>
    <mergeCell ref="J918:M918"/>
    <mergeCell ref="N918:P918"/>
    <mergeCell ref="AE916:AG916"/>
    <mergeCell ref="B917:D917"/>
    <mergeCell ref="E917:I917"/>
    <mergeCell ref="J917:M917"/>
    <mergeCell ref="N917:P917"/>
    <mergeCell ref="Q917:R917"/>
    <mergeCell ref="S917:V917"/>
    <mergeCell ref="X917:AA917"/>
    <mergeCell ref="AB917:AD917"/>
    <mergeCell ref="AE917:AG917"/>
    <mergeCell ref="Q916:R916"/>
    <mergeCell ref="S916:V916"/>
    <mergeCell ref="X916:AA916"/>
    <mergeCell ref="AB916:AD916"/>
    <mergeCell ref="B916:D916"/>
    <mergeCell ref="E916:I916"/>
    <mergeCell ref="J916:M916"/>
    <mergeCell ref="N916:P916"/>
    <mergeCell ref="AE914:AG914"/>
    <mergeCell ref="B915:D915"/>
    <mergeCell ref="E915:I915"/>
    <mergeCell ref="J915:M915"/>
    <mergeCell ref="N915:P915"/>
    <mergeCell ref="Q915:R915"/>
    <mergeCell ref="S915:V915"/>
    <mergeCell ref="X915:AA915"/>
    <mergeCell ref="AB915:AD915"/>
    <mergeCell ref="AE915:AG915"/>
    <mergeCell ref="Q914:R914"/>
    <mergeCell ref="S914:V914"/>
    <mergeCell ref="X914:AA914"/>
    <mergeCell ref="AB914:AD914"/>
    <mergeCell ref="B914:D914"/>
    <mergeCell ref="E914:I914"/>
    <mergeCell ref="J914:M914"/>
    <mergeCell ref="N914:P914"/>
    <mergeCell ref="AE912:AG912"/>
    <mergeCell ref="B913:D913"/>
    <mergeCell ref="E913:I913"/>
    <mergeCell ref="J913:M913"/>
    <mergeCell ref="N913:P913"/>
    <mergeCell ref="Q913:R913"/>
    <mergeCell ref="S913:V913"/>
    <mergeCell ref="X913:AA913"/>
    <mergeCell ref="AB913:AD913"/>
    <mergeCell ref="AE913:AG913"/>
    <mergeCell ref="Q912:R912"/>
    <mergeCell ref="S912:V912"/>
    <mergeCell ref="X912:AA912"/>
    <mergeCell ref="AB912:AD912"/>
    <mergeCell ref="B912:D912"/>
    <mergeCell ref="E912:I912"/>
    <mergeCell ref="J912:M912"/>
    <mergeCell ref="N912:P912"/>
    <mergeCell ref="AE910:AG910"/>
    <mergeCell ref="B911:D911"/>
    <mergeCell ref="E911:I911"/>
    <mergeCell ref="J911:M911"/>
    <mergeCell ref="N911:P911"/>
    <mergeCell ref="Q911:R911"/>
    <mergeCell ref="S911:V911"/>
    <mergeCell ref="X911:AA911"/>
    <mergeCell ref="AB911:AD911"/>
    <mergeCell ref="AE911:AG911"/>
    <mergeCell ref="Q910:R910"/>
    <mergeCell ref="S910:V910"/>
    <mergeCell ref="X910:AA910"/>
    <mergeCell ref="AB910:AD910"/>
    <mergeCell ref="B910:D910"/>
    <mergeCell ref="E910:I910"/>
    <mergeCell ref="J910:M910"/>
    <mergeCell ref="N910:P910"/>
    <mergeCell ref="AE908:AG908"/>
    <mergeCell ref="B909:D909"/>
    <mergeCell ref="E909:I909"/>
    <mergeCell ref="J909:M909"/>
    <mergeCell ref="N909:P909"/>
    <mergeCell ref="Q909:R909"/>
    <mergeCell ref="S909:V909"/>
    <mergeCell ref="X909:AA909"/>
    <mergeCell ref="AB909:AD909"/>
    <mergeCell ref="AE909:AG909"/>
    <mergeCell ref="Q908:R908"/>
    <mergeCell ref="S908:V908"/>
    <mergeCell ref="X908:AA908"/>
    <mergeCell ref="AB908:AD908"/>
    <mergeCell ref="B908:D908"/>
    <mergeCell ref="E908:I908"/>
    <mergeCell ref="J908:M908"/>
    <mergeCell ref="N908:P908"/>
    <mergeCell ref="AE906:AG906"/>
    <mergeCell ref="B907:D907"/>
    <mergeCell ref="E907:I907"/>
    <mergeCell ref="J907:M907"/>
    <mergeCell ref="N907:P907"/>
    <mergeCell ref="Q907:R907"/>
    <mergeCell ref="S907:V907"/>
    <mergeCell ref="X907:AA907"/>
    <mergeCell ref="AB907:AD907"/>
    <mergeCell ref="AE907:AG907"/>
    <mergeCell ref="Q906:R906"/>
    <mergeCell ref="S906:V906"/>
    <mergeCell ref="X906:AA906"/>
    <mergeCell ref="AB906:AD906"/>
    <mergeCell ref="B906:D906"/>
    <mergeCell ref="E906:I906"/>
    <mergeCell ref="J906:M906"/>
    <mergeCell ref="N906:P906"/>
    <mergeCell ref="AE904:AG904"/>
    <mergeCell ref="B905:D905"/>
    <mergeCell ref="E905:I905"/>
    <mergeCell ref="J905:M905"/>
    <mergeCell ref="N905:P905"/>
    <mergeCell ref="Q905:R905"/>
    <mergeCell ref="S905:V905"/>
    <mergeCell ref="X905:AA905"/>
    <mergeCell ref="AB905:AD905"/>
    <mergeCell ref="AE905:AG905"/>
    <mergeCell ref="Q904:R904"/>
    <mergeCell ref="S904:V904"/>
    <mergeCell ref="X904:AA904"/>
    <mergeCell ref="AB904:AD904"/>
    <mergeCell ref="B904:D904"/>
    <mergeCell ref="E904:I904"/>
    <mergeCell ref="J904:M904"/>
    <mergeCell ref="N904:P904"/>
    <mergeCell ref="AE902:AG902"/>
    <mergeCell ref="B903:D903"/>
    <mergeCell ref="E903:I903"/>
    <mergeCell ref="J903:M903"/>
    <mergeCell ref="N903:P903"/>
    <mergeCell ref="Q903:R903"/>
    <mergeCell ref="S903:V903"/>
    <mergeCell ref="X903:AA903"/>
    <mergeCell ref="AB903:AD903"/>
    <mergeCell ref="AE903:AG903"/>
    <mergeCell ref="Q902:R902"/>
    <mergeCell ref="S902:V902"/>
    <mergeCell ref="X902:AA902"/>
    <mergeCell ref="AB902:AD902"/>
    <mergeCell ref="B902:D902"/>
    <mergeCell ref="E902:I902"/>
    <mergeCell ref="J902:M902"/>
    <mergeCell ref="N902:P902"/>
    <mergeCell ref="AE900:AG900"/>
    <mergeCell ref="B901:D901"/>
    <mergeCell ref="E901:I901"/>
    <mergeCell ref="J901:M901"/>
    <mergeCell ref="N901:P901"/>
    <mergeCell ref="Q901:R901"/>
    <mergeCell ref="S901:V901"/>
    <mergeCell ref="X901:AA901"/>
    <mergeCell ref="AB901:AD901"/>
    <mergeCell ref="AE901:AG901"/>
    <mergeCell ref="Q900:R900"/>
    <mergeCell ref="S900:V900"/>
    <mergeCell ref="X900:AA900"/>
    <mergeCell ref="AB900:AD900"/>
    <mergeCell ref="B900:D900"/>
    <mergeCell ref="E900:I900"/>
    <mergeCell ref="J900:M900"/>
    <mergeCell ref="N900:P900"/>
    <mergeCell ref="AE898:AG898"/>
    <mergeCell ref="B899:D899"/>
    <mergeCell ref="E899:I899"/>
    <mergeCell ref="J899:M899"/>
    <mergeCell ref="N899:P899"/>
    <mergeCell ref="Q899:R899"/>
    <mergeCell ref="S899:V899"/>
    <mergeCell ref="X899:AA899"/>
    <mergeCell ref="AB899:AD899"/>
    <mergeCell ref="AE899:AG899"/>
    <mergeCell ref="Q898:R898"/>
    <mergeCell ref="S898:V898"/>
    <mergeCell ref="X898:AA898"/>
    <mergeCell ref="AB898:AD898"/>
    <mergeCell ref="B898:D898"/>
    <mergeCell ref="E898:I898"/>
    <mergeCell ref="J898:M898"/>
    <mergeCell ref="N898:P898"/>
    <mergeCell ref="AE896:AG896"/>
    <mergeCell ref="B897:D897"/>
    <mergeCell ref="E897:I897"/>
    <mergeCell ref="J897:M897"/>
    <mergeCell ref="N897:P897"/>
    <mergeCell ref="Q897:R897"/>
    <mergeCell ref="S897:V897"/>
    <mergeCell ref="X897:AA897"/>
    <mergeCell ref="AB897:AD897"/>
    <mergeCell ref="AE897:AG897"/>
    <mergeCell ref="Q896:R896"/>
    <mergeCell ref="S896:V896"/>
    <mergeCell ref="X896:AA896"/>
    <mergeCell ref="AB896:AD896"/>
    <mergeCell ref="B896:D896"/>
    <mergeCell ref="E896:I896"/>
    <mergeCell ref="J896:M896"/>
    <mergeCell ref="N896:P896"/>
    <mergeCell ref="AE894:AG894"/>
    <mergeCell ref="B895:D895"/>
    <mergeCell ref="E895:I895"/>
    <mergeCell ref="J895:M895"/>
    <mergeCell ref="N895:P895"/>
    <mergeCell ref="Q895:R895"/>
    <mergeCell ref="S895:V895"/>
    <mergeCell ref="X895:AA895"/>
    <mergeCell ref="AB895:AD895"/>
    <mergeCell ref="AE895:AG895"/>
    <mergeCell ref="Q894:R894"/>
    <mergeCell ref="S894:V894"/>
    <mergeCell ref="X894:AA894"/>
    <mergeCell ref="AB894:AD894"/>
    <mergeCell ref="B894:D894"/>
    <mergeCell ref="E894:I894"/>
    <mergeCell ref="J894:M894"/>
    <mergeCell ref="N894:P894"/>
    <mergeCell ref="AE892:AG892"/>
    <mergeCell ref="B893:D893"/>
    <mergeCell ref="E893:I893"/>
    <mergeCell ref="J893:M893"/>
    <mergeCell ref="N893:P893"/>
    <mergeCell ref="Q893:R893"/>
    <mergeCell ref="S893:V893"/>
    <mergeCell ref="X893:AA893"/>
    <mergeCell ref="AB893:AD893"/>
    <mergeCell ref="AE893:AG893"/>
    <mergeCell ref="Q892:R892"/>
    <mergeCell ref="S892:V892"/>
    <mergeCell ref="X892:AA892"/>
    <mergeCell ref="AB892:AD892"/>
    <mergeCell ref="B892:D892"/>
    <mergeCell ref="E892:I892"/>
    <mergeCell ref="J892:M892"/>
    <mergeCell ref="N892:P892"/>
    <mergeCell ref="AE890:AG890"/>
    <mergeCell ref="B891:D891"/>
    <mergeCell ref="E891:I891"/>
    <mergeCell ref="J891:M891"/>
    <mergeCell ref="N891:P891"/>
    <mergeCell ref="Q891:R891"/>
    <mergeCell ref="S891:V891"/>
    <mergeCell ref="X891:AA891"/>
    <mergeCell ref="AB891:AD891"/>
    <mergeCell ref="AE891:AG891"/>
    <mergeCell ref="Q890:R890"/>
    <mergeCell ref="S890:V890"/>
    <mergeCell ref="X890:AA890"/>
    <mergeCell ref="AB890:AD890"/>
    <mergeCell ref="B890:D890"/>
    <mergeCell ref="E890:I890"/>
    <mergeCell ref="J890:M890"/>
    <mergeCell ref="N890:P890"/>
    <mergeCell ref="AE888:AG888"/>
    <mergeCell ref="B889:D889"/>
    <mergeCell ref="E889:I889"/>
    <mergeCell ref="J889:M889"/>
    <mergeCell ref="N889:P889"/>
    <mergeCell ref="Q889:R889"/>
    <mergeCell ref="S889:V889"/>
    <mergeCell ref="X889:AA889"/>
    <mergeCell ref="AB889:AD889"/>
    <mergeCell ref="AE889:AG889"/>
    <mergeCell ref="Q888:R888"/>
    <mergeCell ref="S888:V888"/>
    <mergeCell ref="X888:AA888"/>
    <mergeCell ref="AB888:AD888"/>
    <mergeCell ref="B888:D888"/>
    <mergeCell ref="E888:I888"/>
    <mergeCell ref="J888:M888"/>
    <mergeCell ref="N888:P888"/>
    <mergeCell ref="AE886:AG886"/>
    <mergeCell ref="B887:D887"/>
    <mergeCell ref="E887:I887"/>
    <mergeCell ref="J887:M887"/>
    <mergeCell ref="N887:P887"/>
    <mergeCell ref="Q887:R887"/>
    <mergeCell ref="S887:V887"/>
    <mergeCell ref="X887:AA887"/>
    <mergeCell ref="AB887:AD887"/>
    <mergeCell ref="AE887:AG887"/>
    <mergeCell ref="Q886:R886"/>
    <mergeCell ref="S886:V886"/>
    <mergeCell ref="X886:AA886"/>
    <mergeCell ref="AB886:AD886"/>
    <mergeCell ref="B886:D886"/>
    <mergeCell ref="E886:I886"/>
    <mergeCell ref="J886:M886"/>
    <mergeCell ref="N886:P886"/>
    <mergeCell ref="AE884:AG884"/>
    <mergeCell ref="B885:D885"/>
    <mergeCell ref="E885:I885"/>
    <mergeCell ref="J885:M885"/>
    <mergeCell ref="N885:P885"/>
    <mergeCell ref="Q885:R885"/>
    <mergeCell ref="S885:V885"/>
    <mergeCell ref="X885:AA885"/>
    <mergeCell ref="AB885:AD885"/>
    <mergeCell ref="AE885:AG885"/>
    <mergeCell ref="Q884:R884"/>
    <mergeCell ref="S884:V884"/>
    <mergeCell ref="X884:AA884"/>
    <mergeCell ref="AB884:AD884"/>
    <mergeCell ref="B884:D884"/>
    <mergeCell ref="E884:I884"/>
    <mergeCell ref="J884:M884"/>
    <mergeCell ref="N884:P884"/>
    <mergeCell ref="AE882:AG882"/>
    <mergeCell ref="B883:D883"/>
    <mergeCell ref="E883:I883"/>
    <mergeCell ref="J883:M883"/>
    <mergeCell ref="N883:P883"/>
    <mergeCell ref="Q883:R883"/>
    <mergeCell ref="S883:V883"/>
    <mergeCell ref="X883:AA883"/>
    <mergeCell ref="AB883:AD883"/>
    <mergeCell ref="AE883:AG883"/>
    <mergeCell ref="Q882:R882"/>
    <mergeCell ref="S882:V882"/>
    <mergeCell ref="X882:AA882"/>
    <mergeCell ref="AB882:AD882"/>
    <mergeCell ref="B882:D882"/>
    <mergeCell ref="E882:I882"/>
    <mergeCell ref="J882:M882"/>
    <mergeCell ref="N882:P882"/>
    <mergeCell ref="AE880:AG880"/>
    <mergeCell ref="B881:D881"/>
    <mergeCell ref="E881:I881"/>
    <mergeCell ref="J881:M881"/>
    <mergeCell ref="N881:P881"/>
    <mergeCell ref="Q881:R881"/>
    <mergeCell ref="S881:V881"/>
    <mergeCell ref="X881:AA881"/>
    <mergeCell ref="AB881:AD881"/>
    <mergeCell ref="AE881:AG881"/>
    <mergeCell ref="Q880:R880"/>
    <mergeCell ref="S880:V880"/>
    <mergeCell ref="X880:AA880"/>
    <mergeCell ref="AB880:AD880"/>
    <mergeCell ref="B880:D880"/>
    <mergeCell ref="E880:I880"/>
    <mergeCell ref="J880:M880"/>
    <mergeCell ref="N880:P880"/>
    <mergeCell ref="AE878:AG878"/>
    <mergeCell ref="B879:D879"/>
    <mergeCell ref="E879:I879"/>
    <mergeCell ref="J879:M879"/>
    <mergeCell ref="N879:P879"/>
    <mergeCell ref="Q879:R879"/>
    <mergeCell ref="S879:V879"/>
    <mergeCell ref="X879:AA879"/>
    <mergeCell ref="AB879:AD879"/>
    <mergeCell ref="AE879:AG879"/>
    <mergeCell ref="Q878:R878"/>
    <mergeCell ref="S878:V878"/>
    <mergeCell ref="X878:AA878"/>
    <mergeCell ref="AB878:AD878"/>
    <mergeCell ref="B878:D878"/>
    <mergeCell ref="E878:I878"/>
    <mergeCell ref="J878:M878"/>
    <mergeCell ref="N878:P878"/>
    <mergeCell ref="AE876:AG876"/>
    <mergeCell ref="B877:D877"/>
    <mergeCell ref="E877:I877"/>
    <mergeCell ref="J877:M877"/>
    <mergeCell ref="N877:P877"/>
    <mergeCell ref="Q877:R877"/>
    <mergeCell ref="S877:V877"/>
    <mergeCell ref="X877:AA877"/>
    <mergeCell ref="AB877:AD877"/>
    <mergeCell ref="AE877:AG877"/>
    <mergeCell ref="Q876:R876"/>
    <mergeCell ref="S876:V876"/>
    <mergeCell ref="X876:AA876"/>
    <mergeCell ref="AB876:AD876"/>
    <mergeCell ref="B876:D876"/>
    <mergeCell ref="E876:I876"/>
    <mergeCell ref="J876:M876"/>
    <mergeCell ref="N876:P876"/>
    <mergeCell ref="AE874:AG874"/>
    <mergeCell ref="B875:D875"/>
    <mergeCell ref="E875:I875"/>
    <mergeCell ref="J875:M875"/>
    <mergeCell ref="N875:P875"/>
    <mergeCell ref="Q875:R875"/>
    <mergeCell ref="S875:V875"/>
    <mergeCell ref="X875:AA875"/>
    <mergeCell ref="AB875:AD875"/>
    <mergeCell ref="AE875:AG875"/>
    <mergeCell ref="Q874:R874"/>
    <mergeCell ref="S874:V874"/>
    <mergeCell ref="X874:AA874"/>
    <mergeCell ref="AB874:AD874"/>
    <mergeCell ref="B874:D874"/>
    <mergeCell ref="E874:I874"/>
    <mergeCell ref="J874:M874"/>
    <mergeCell ref="N874:P874"/>
    <mergeCell ref="AE872:AG872"/>
    <mergeCell ref="B873:D873"/>
    <mergeCell ref="E873:I873"/>
    <mergeCell ref="J873:M873"/>
    <mergeCell ref="N873:P873"/>
    <mergeCell ref="Q873:R873"/>
    <mergeCell ref="S873:V873"/>
    <mergeCell ref="X873:AA873"/>
    <mergeCell ref="AB873:AD873"/>
    <mergeCell ref="AE873:AG873"/>
    <mergeCell ref="Q872:R872"/>
    <mergeCell ref="S872:V872"/>
    <mergeCell ref="X872:AA872"/>
    <mergeCell ref="AB872:AD872"/>
    <mergeCell ref="B872:D872"/>
    <mergeCell ref="E872:I872"/>
    <mergeCell ref="J872:M872"/>
    <mergeCell ref="N872:P872"/>
    <mergeCell ref="AE870:AG870"/>
    <mergeCell ref="B871:D871"/>
    <mergeCell ref="E871:I871"/>
    <mergeCell ref="J871:M871"/>
    <mergeCell ref="N871:P871"/>
    <mergeCell ref="Q871:R871"/>
    <mergeCell ref="S871:V871"/>
    <mergeCell ref="X871:AA871"/>
    <mergeCell ref="AB871:AD871"/>
    <mergeCell ref="AE871:AG871"/>
    <mergeCell ref="Q870:R870"/>
    <mergeCell ref="S870:V870"/>
    <mergeCell ref="X870:AA870"/>
    <mergeCell ref="AB870:AD870"/>
    <mergeCell ref="B870:D870"/>
    <mergeCell ref="E870:I870"/>
    <mergeCell ref="J870:M870"/>
    <mergeCell ref="N870:P870"/>
    <mergeCell ref="AE868:AG868"/>
    <mergeCell ref="B869:D869"/>
    <mergeCell ref="E869:I869"/>
    <mergeCell ref="J869:M869"/>
    <mergeCell ref="N869:P869"/>
    <mergeCell ref="Q869:R869"/>
    <mergeCell ref="S869:V869"/>
    <mergeCell ref="X869:AA869"/>
    <mergeCell ref="AB869:AD869"/>
    <mergeCell ref="AE869:AG869"/>
    <mergeCell ref="Q868:R868"/>
    <mergeCell ref="S868:V868"/>
    <mergeCell ref="X868:AA868"/>
    <mergeCell ref="AB868:AD868"/>
    <mergeCell ref="B868:D868"/>
    <mergeCell ref="E868:I868"/>
    <mergeCell ref="J868:M868"/>
    <mergeCell ref="N868:P868"/>
    <mergeCell ref="AE866:AG866"/>
    <mergeCell ref="B867:D867"/>
    <mergeCell ref="E867:I867"/>
    <mergeCell ref="J867:M867"/>
    <mergeCell ref="N867:P867"/>
    <mergeCell ref="Q867:R867"/>
    <mergeCell ref="S867:V867"/>
    <mergeCell ref="X867:AA867"/>
    <mergeCell ref="AB867:AD867"/>
    <mergeCell ref="AE867:AG867"/>
    <mergeCell ref="Q866:R866"/>
    <mergeCell ref="S866:V866"/>
    <mergeCell ref="X866:AA866"/>
    <mergeCell ref="AB866:AD866"/>
    <mergeCell ref="B866:D866"/>
    <mergeCell ref="E866:I866"/>
    <mergeCell ref="J866:M866"/>
    <mergeCell ref="N866:P866"/>
    <mergeCell ref="AE864:AG864"/>
    <mergeCell ref="B865:D865"/>
    <mergeCell ref="E865:I865"/>
    <mergeCell ref="J865:M865"/>
    <mergeCell ref="N865:P865"/>
    <mergeCell ref="Q865:R865"/>
    <mergeCell ref="S865:V865"/>
    <mergeCell ref="X865:AA865"/>
    <mergeCell ref="AB865:AD865"/>
    <mergeCell ref="AE865:AG865"/>
    <mergeCell ref="Q864:R864"/>
    <mergeCell ref="S864:V864"/>
    <mergeCell ref="X864:AA864"/>
    <mergeCell ref="AB864:AD864"/>
    <mergeCell ref="B864:D864"/>
    <mergeCell ref="E864:I864"/>
    <mergeCell ref="J864:M864"/>
    <mergeCell ref="N864:P864"/>
    <mergeCell ref="AE862:AG862"/>
    <mergeCell ref="B863:D863"/>
    <mergeCell ref="E863:I863"/>
    <mergeCell ref="J863:M863"/>
    <mergeCell ref="N863:P863"/>
    <mergeCell ref="Q863:R863"/>
    <mergeCell ref="S863:V863"/>
    <mergeCell ref="X863:AA863"/>
    <mergeCell ref="AB863:AD863"/>
    <mergeCell ref="AE863:AG863"/>
    <mergeCell ref="Q862:R862"/>
    <mergeCell ref="S862:V862"/>
    <mergeCell ref="X862:AA862"/>
    <mergeCell ref="AB862:AD862"/>
    <mergeCell ref="B862:D862"/>
    <mergeCell ref="E862:I862"/>
    <mergeCell ref="J862:M862"/>
    <mergeCell ref="N862:P862"/>
    <mergeCell ref="AE860:AG860"/>
    <mergeCell ref="B861:D861"/>
    <mergeCell ref="E861:I861"/>
    <mergeCell ref="J861:M861"/>
    <mergeCell ref="N861:P861"/>
    <mergeCell ref="Q861:R861"/>
    <mergeCell ref="S861:V861"/>
    <mergeCell ref="X861:AA861"/>
    <mergeCell ref="AB861:AD861"/>
    <mergeCell ref="AE861:AG861"/>
    <mergeCell ref="Q860:R860"/>
    <mergeCell ref="S860:V860"/>
    <mergeCell ref="X860:AA860"/>
    <mergeCell ref="AB860:AD860"/>
    <mergeCell ref="B860:D860"/>
    <mergeCell ref="E860:I860"/>
    <mergeCell ref="J860:M860"/>
    <mergeCell ref="N860:P860"/>
    <mergeCell ref="AE858:AG858"/>
    <mergeCell ref="B859:D859"/>
    <mergeCell ref="E859:I859"/>
    <mergeCell ref="J859:M859"/>
    <mergeCell ref="N859:P859"/>
    <mergeCell ref="Q859:R859"/>
    <mergeCell ref="S859:V859"/>
    <mergeCell ref="X859:AA859"/>
    <mergeCell ref="AB859:AD859"/>
    <mergeCell ref="AE859:AG859"/>
    <mergeCell ref="Q858:R858"/>
    <mergeCell ref="S858:V858"/>
    <mergeCell ref="X858:AA858"/>
    <mergeCell ref="AB858:AD858"/>
    <mergeCell ref="B858:D858"/>
    <mergeCell ref="E858:I858"/>
    <mergeCell ref="J858:M858"/>
    <mergeCell ref="N858:P858"/>
    <mergeCell ref="AE856:AG856"/>
    <mergeCell ref="B857:D857"/>
    <mergeCell ref="E857:I857"/>
    <mergeCell ref="J857:M857"/>
    <mergeCell ref="N857:P857"/>
    <mergeCell ref="Q857:R857"/>
    <mergeCell ref="S857:V857"/>
    <mergeCell ref="X857:AA857"/>
    <mergeCell ref="AB857:AD857"/>
    <mergeCell ref="AE857:AG857"/>
    <mergeCell ref="Q856:R856"/>
    <mergeCell ref="S856:V856"/>
    <mergeCell ref="X856:AA856"/>
    <mergeCell ref="AB856:AD856"/>
    <mergeCell ref="B856:D856"/>
    <mergeCell ref="E856:I856"/>
    <mergeCell ref="J856:M856"/>
    <mergeCell ref="N856:P856"/>
    <mergeCell ref="AE854:AG854"/>
    <mergeCell ref="B855:D855"/>
    <mergeCell ref="E855:I855"/>
    <mergeCell ref="J855:M855"/>
    <mergeCell ref="N855:P855"/>
    <mergeCell ref="Q855:R855"/>
    <mergeCell ref="S855:V855"/>
    <mergeCell ref="X855:AA855"/>
    <mergeCell ref="AB855:AD855"/>
    <mergeCell ref="AE855:AG855"/>
    <mergeCell ref="Q854:R854"/>
    <mergeCell ref="S854:V854"/>
    <mergeCell ref="X854:AA854"/>
    <mergeCell ref="AB854:AD854"/>
    <mergeCell ref="B854:D854"/>
    <mergeCell ref="E854:I854"/>
    <mergeCell ref="J854:M854"/>
    <mergeCell ref="N854:P854"/>
    <mergeCell ref="AE852:AG852"/>
    <mergeCell ref="B853:D853"/>
    <mergeCell ref="E853:I853"/>
    <mergeCell ref="J853:M853"/>
    <mergeCell ref="N853:P853"/>
    <mergeCell ref="Q853:R853"/>
    <mergeCell ref="S853:V853"/>
    <mergeCell ref="X853:AA853"/>
    <mergeCell ref="AB853:AD853"/>
    <mergeCell ref="AE853:AG853"/>
    <mergeCell ref="Q852:R852"/>
    <mergeCell ref="S852:V852"/>
    <mergeCell ref="X852:AA852"/>
    <mergeCell ref="AB852:AD852"/>
    <mergeCell ref="B852:D852"/>
    <mergeCell ref="E852:I852"/>
    <mergeCell ref="J852:M852"/>
    <mergeCell ref="N852:P852"/>
    <mergeCell ref="AE850:AG850"/>
    <mergeCell ref="B851:D851"/>
    <mergeCell ref="E851:I851"/>
    <mergeCell ref="J851:M851"/>
    <mergeCell ref="N851:P851"/>
    <mergeCell ref="Q851:R851"/>
    <mergeCell ref="S851:V851"/>
    <mergeCell ref="X851:AA851"/>
    <mergeCell ref="AB851:AD851"/>
    <mergeCell ref="AE851:AG851"/>
    <mergeCell ref="Q850:R850"/>
    <mergeCell ref="S850:V850"/>
    <mergeCell ref="X850:AA850"/>
    <mergeCell ref="AB850:AD850"/>
    <mergeCell ref="B850:D850"/>
    <mergeCell ref="E850:I850"/>
    <mergeCell ref="J850:M850"/>
    <mergeCell ref="N850:P850"/>
    <mergeCell ref="AE848:AG848"/>
    <mergeCell ref="B849:D849"/>
    <mergeCell ref="E849:I849"/>
    <mergeCell ref="J849:M849"/>
    <mergeCell ref="N849:P849"/>
    <mergeCell ref="Q849:R849"/>
    <mergeCell ref="S849:V849"/>
    <mergeCell ref="X849:AA849"/>
    <mergeCell ref="AB849:AD849"/>
    <mergeCell ref="AE849:AG849"/>
    <mergeCell ref="Q848:R848"/>
    <mergeCell ref="S848:V848"/>
    <mergeCell ref="X848:AA848"/>
    <mergeCell ref="AB848:AD848"/>
    <mergeCell ref="B848:D848"/>
    <mergeCell ref="E848:I848"/>
    <mergeCell ref="J848:M848"/>
    <mergeCell ref="N848:P848"/>
    <mergeCell ref="AE846:AG846"/>
    <mergeCell ref="B847:D847"/>
    <mergeCell ref="E847:I847"/>
    <mergeCell ref="J847:M847"/>
    <mergeCell ref="N847:P847"/>
    <mergeCell ref="Q847:R847"/>
    <mergeCell ref="S847:V847"/>
    <mergeCell ref="X847:AA847"/>
    <mergeCell ref="AB847:AD847"/>
    <mergeCell ref="AE847:AG847"/>
    <mergeCell ref="Q846:R846"/>
    <mergeCell ref="S846:V846"/>
    <mergeCell ref="X846:AA846"/>
    <mergeCell ref="AB846:AD846"/>
    <mergeCell ref="B846:D846"/>
    <mergeCell ref="E846:I846"/>
    <mergeCell ref="J846:M846"/>
    <mergeCell ref="N846:P846"/>
    <mergeCell ref="AE844:AG844"/>
    <mergeCell ref="B845:D845"/>
    <mergeCell ref="E845:I845"/>
    <mergeCell ref="J845:M845"/>
    <mergeCell ref="N845:P845"/>
    <mergeCell ref="Q845:R845"/>
    <mergeCell ref="S845:V845"/>
    <mergeCell ref="X845:AA845"/>
    <mergeCell ref="AB845:AD845"/>
    <mergeCell ref="AE845:AG845"/>
    <mergeCell ref="Q844:R844"/>
    <mergeCell ref="S844:V844"/>
    <mergeCell ref="X844:AA844"/>
    <mergeCell ref="AB844:AD844"/>
    <mergeCell ref="B844:D844"/>
    <mergeCell ref="E844:I844"/>
    <mergeCell ref="J844:M844"/>
    <mergeCell ref="N844:P844"/>
    <mergeCell ref="AE842:AG842"/>
    <mergeCell ref="B843:D843"/>
    <mergeCell ref="E843:I843"/>
    <mergeCell ref="J843:M843"/>
    <mergeCell ref="N843:P843"/>
    <mergeCell ref="Q843:R843"/>
    <mergeCell ref="S843:V843"/>
    <mergeCell ref="X843:AA843"/>
    <mergeCell ref="AB843:AD843"/>
    <mergeCell ref="AE843:AG843"/>
    <mergeCell ref="Q842:R842"/>
    <mergeCell ref="S842:V842"/>
    <mergeCell ref="X842:AA842"/>
    <mergeCell ref="AB842:AD842"/>
    <mergeCell ref="B842:D842"/>
    <mergeCell ref="E842:I842"/>
    <mergeCell ref="J842:M842"/>
    <mergeCell ref="N842:P842"/>
    <mergeCell ref="AE840:AG840"/>
    <mergeCell ref="B841:D841"/>
    <mergeCell ref="E841:I841"/>
    <mergeCell ref="J841:M841"/>
    <mergeCell ref="N841:P841"/>
    <mergeCell ref="Q841:R841"/>
    <mergeCell ref="S841:V841"/>
    <mergeCell ref="X841:AA841"/>
    <mergeCell ref="AB841:AD841"/>
    <mergeCell ref="AE841:AG841"/>
    <mergeCell ref="Q840:R840"/>
    <mergeCell ref="S840:V840"/>
    <mergeCell ref="X840:AA840"/>
    <mergeCell ref="AB840:AD840"/>
    <mergeCell ref="B840:D840"/>
    <mergeCell ref="E840:I840"/>
    <mergeCell ref="J840:M840"/>
    <mergeCell ref="N840:P840"/>
    <mergeCell ref="AE838:AG838"/>
    <mergeCell ref="B839:D839"/>
    <mergeCell ref="E839:I839"/>
    <mergeCell ref="J839:M839"/>
    <mergeCell ref="N839:P839"/>
    <mergeCell ref="Q839:R839"/>
    <mergeCell ref="S839:V839"/>
    <mergeCell ref="X839:AA839"/>
    <mergeCell ref="AB839:AD839"/>
    <mergeCell ref="AE839:AG839"/>
    <mergeCell ref="Q838:R838"/>
    <mergeCell ref="S838:V838"/>
    <mergeCell ref="X838:AA838"/>
    <mergeCell ref="AB838:AD838"/>
    <mergeCell ref="B838:D838"/>
    <mergeCell ref="E838:I838"/>
    <mergeCell ref="J838:M838"/>
    <mergeCell ref="N838:P838"/>
    <mergeCell ref="AE836:AG836"/>
    <mergeCell ref="B837:D837"/>
    <mergeCell ref="E837:I837"/>
    <mergeCell ref="J837:M837"/>
    <mergeCell ref="N837:P837"/>
    <mergeCell ref="Q837:R837"/>
    <mergeCell ref="S837:V837"/>
    <mergeCell ref="X837:AA837"/>
    <mergeCell ref="AB837:AD837"/>
    <mergeCell ref="AE837:AG837"/>
    <mergeCell ref="Q836:R836"/>
    <mergeCell ref="S836:V836"/>
    <mergeCell ref="X836:AA836"/>
    <mergeCell ref="AB836:AD836"/>
    <mergeCell ref="B836:D836"/>
    <mergeCell ref="E836:I836"/>
    <mergeCell ref="J836:M836"/>
    <mergeCell ref="N836:P836"/>
    <mergeCell ref="AE834:AG834"/>
    <mergeCell ref="B835:D835"/>
    <mergeCell ref="E835:I835"/>
    <mergeCell ref="J835:M835"/>
    <mergeCell ref="N835:P835"/>
    <mergeCell ref="Q835:R835"/>
    <mergeCell ref="S835:V835"/>
    <mergeCell ref="X835:AA835"/>
    <mergeCell ref="AB835:AD835"/>
    <mergeCell ref="AE835:AG835"/>
    <mergeCell ref="Q834:R834"/>
    <mergeCell ref="S834:V834"/>
    <mergeCell ref="X834:AA834"/>
    <mergeCell ref="AB834:AD834"/>
    <mergeCell ref="B834:D834"/>
    <mergeCell ref="E834:I834"/>
    <mergeCell ref="J834:M834"/>
    <mergeCell ref="N834:P834"/>
    <mergeCell ref="AE832:AG832"/>
    <mergeCell ref="B833:D833"/>
    <mergeCell ref="E833:I833"/>
    <mergeCell ref="J833:M833"/>
    <mergeCell ref="N833:P833"/>
    <mergeCell ref="Q833:R833"/>
    <mergeCell ref="S833:V833"/>
    <mergeCell ref="X833:AA833"/>
    <mergeCell ref="AB833:AD833"/>
    <mergeCell ref="AE833:AG833"/>
    <mergeCell ref="Q832:R832"/>
    <mergeCell ref="S832:V832"/>
    <mergeCell ref="X832:AA832"/>
    <mergeCell ref="AB832:AD832"/>
    <mergeCell ref="B832:D832"/>
    <mergeCell ref="E832:I832"/>
    <mergeCell ref="J832:M832"/>
    <mergeCell ref="N832:P832"/>
    <mergeCell ref="AE830:AG830"/>
    <mergeCell ref="B831:D831"/>
    <mergeCell ref="E831:I831"/>
    <mergeCell ref="J831:M831"/>
    <mergeCell ref="N831:P831"/>
    <mergeCell ref="Q831:R831"/>
    <mergeCell ref="S831:V831"/>
    <mergeCell ref="X831:AA831"/>
    <mergeCell ref="AB831:AD831"/>
    <mergeCell ref="AE831:AG831"/>
    <mergeCell ref="Q830:R830"/>
    <mergeCell ref="S830:V830"/>
    <mergeCell ref="X830:AA830"/>
    <mergeCell ref="AB830:AD830"/>
    <mergeCell ref="B830:D830"/>
    <mergeCell ref="E830:I830"/>
    <mergeCell ref="J830:M830"/>
    <mergeCell ref="N830:P830"/>
    <mergeCell ref="AE828:AG828"/>
    <mergeCell ref="B829:D829"/>
    <mergeCell ref="E829:I829"/>
    <mergeCell ref="J829:M829"/>
    <mergeCell ref="N829:P829"/>
    <mergeCell ref="Q829:R829"/>
    <mergeCell ref="S829:V829"/>
    <mergeCell ref="X829:AA829"/>
    <mergeCell ref="AB829:AD829"/>
    <mergeCell ref="AE829:AG829"/>
    <mergeCell ref="Q828:R828"/>
    <mergeCell ref="S828:V828"/>
    <mergeCell ref="X828:AA828"/>
    <mergeCell ref="AB828:AD828"/>
    <mergeCell ref="B828:D828"/>
    <mergeCell ref="E828:I828"/>
    <mergeCell ref="J828:M828"/>
    <mergeCell ref="N828:P828"/>
    <mergeCell ref="AE826:AG826"/>
    <mergeCell ref="B827:D827"/>
    <mergeCell ref="E827:I827"/>
    <mergeCell ref="J827:M827"/>
    <mergeCell ref="N827:P827"/>
    <mergeCell ref="Q827:R827"/>
    <mergeCell ref="S827:V827"/>
    <mergeCell ref="X827:AA827"/>
    <mergeCell ref="AB827:AD827"/>
    <mergeCell ref="AE827:AG827"/>
    <mergeCell ref="Q826:R826"/>
    <mergeCell ref="S826:V826"/>
    <mergeCell ref="X826:AA826"/>
    <mergeCell ref="AB826:AD826"/>
    <mergeCell ref="B826:D826"/>
    <mergeCell ref="E826:I826"/>
    <mergeCell ref="J826:M826"/>
    <mergeCell ref="N826:P826"/>
    <mergeCell ref="AE824:AG824"/>
    <mergeCell ref="B825:D825"/>
    <mergeCell ref="E825:I825"/>
    <mergeCell ref="J825:M825"/>
    <mergeCell ref="N825:P825"/>
    <mergeCell ref="Q825:R825"/>
    <mergeCell ref="S825:V825"/>
    <mergeCell ref="X825:AA825"/>
    <mergeCell ref="AB825:AD825"/>
    <mergeCell ref="AE825:AG825"/>
    <mergeCell ref="Q824:R824"/>
    <mergeCell ref="S824:V824"/>
    <mergeCell ref="X824:AA824"/>
    <mergeCell ref="AB824:AD824"/>
    <mergeCell ref="B824:D824"/>
    <mergeCell ref="E824:I824"/>
    <mergeCell ref="J824:M824"/>
    <mergeCell ref="N824:P824"/>
    <mergeCell ref="AE822:AG822"/>
    <mergeCell ref="B823:D823"/>
    <mergeCell ref="E823:I823"/>
    <mergeCell ref="J823:M823"/>
    <mergeCell ref="N823:P823"/>
    <mergeCell ref="Q823:R823"/>
    <mergeCell ref="S823:V823"/>
    <mergeCell ref="X823:AA823"/>
    <mergeCell ref="AB823:AD823"/>
    <mergeCell ref="AE823:AG823"/>
    <mergeCell ref="Q822:R822"/>
    <mergeCell ref="S822:V822"/>
    <mergeCell ref="X822:AA822"/>
    <mergeCell ref="AB822:AD822"/>
    <mergeCell ref="B822:D822"/>
    <mergeCell ref="E822:I822"/>
    <mergeCell ref="J822:M822"/>
    <mergeCell ref="N822:P822"/>
    <mergeCell ref="AE820:AG820"/>
    <mergeCell ref="B821:D821"/>
    <mergeCell ref="E821:I821"/>
    <mergeCell ref="J821:M821"/>
    <mergeCell ref="N821:P821"/>
    <mergeCell ref="Q821:R821"/>
    <mergeCell ref="S821:V821"/>
    <mergeCell ref="X821:AA821"/>
    <mergeCell ref="AB821:AD821"/>
    <mergeCell ref="AE821:AG821"/>
    <mergeCell ref="Q820:R820"/>
    <mergeCell ref="S820:V820"/>
    <mergeCell ref="X820:AA820"/>
    <mergeCell ref="AB820:AD820"/>
    <mergeCell ref="B820:D820"/>
    <mergeCell ref="E820:I820"/>
    <mergeCell ref="J820:M820"/>
    <mergeCell ref="N820:P820"/>
    <mergeCell ref="AE818:AG818"/>
    <mergeCell ref="B819:D819"/>
    <mergeCell ref="E819:I819"/>
    <mergeCell ref="J819:M819"/>
    <mergeCell ref="N819:P819"/>
    <mergeCell ref="Q819:R819"/>
    <mergeCell ref="S819:V819"/>
    <mergeCell ref="X819:AA819"/>
    <mergeCell ref="AB819:AD819"/>
    <mergeCell ref="AE819:AG819"/>
    <mergeCell ref="Q818:R818"/>
    <mergeCell ref="S818:V818"/>
    <mergeCell ref="X818:AA818"/>
    <mergeCell ref="AB818:AD818"/>
    <mergeCell ref="B818:D818"/>
    <mergeCell ref="E818:I818"/>
    <mergeCell ref="J818:M818"/>
    <mergeCell ref="N818:P818"/>
    <mergeCell ref="AE816:AG816"/>
    <mergeCell ref="B817:D817"/>
    <mergeCell ref="E817:I817"/>
    <mergeCell ref="J817:M817"/>
    <mergeCell ref="N817:P817"/>
    <mergeCell ref="Q817:R817"/>
    <mergeCell ref="S817:V817"/>
    <mergeCell ref="X817:AA817"/>
    <mergeCell ref="AB817:AD817"/>
    <mergeCell ref="AE817:AG817"/>
    <mergeCell ref="Q816:R816"/>
    <mergeCell ref="S816:V816"/>
    <mergeCell ref="X816:AA816"/>
    <mergeCell ref="AB816:AD816"/>
    <mergeCell ref="B816:D816"/>
    <mergeCell ref="E816:I816"/>
    <mergeCell ref="J816:M816"/>
    <mergeCell ref="N816:P816"/>
    <mergeCell ref="AE814:AG814"/>
    <mergeCell ref="B815:D815"/>
    <mergeCell ref="E815:I815"/>
    <mergeCell ref="J815:M815"/>
    <mergeCell ref="N815:P815"/>
    <mergeCell ref="Q815:R815"/>
    <mergeCell ref="S815:V815"/>
    <mergeCell ref="X815:AA815"/>
    <mergeCell ref="AB815:AD815"/>
    <mergeCell ref="AE815:AG815"/>
    <mergeCell ref="Q814:R814"/>
    <mergeCell ref="S814:V814"/>
    <mergeCell ref="X814:AA814"/>
    <mergeCell ref="AB814:AD814"/>
    <mergeCell ref="B814:D814"/>
    <mergeCell ref="E814:I814"/>
    <mergeCell ref="J814:M814"/>
    <mergeCell ref="N814:P814"/>
    <mergeCell ref="AE812:AG812"/>
    <mergeCell ref="B813:D813"/>
    <mergeCell ref="E813:I813"/>
    <mergeCell ref="J813:M813"/>
    <mergeCell ref="N813:P813"/>
    <mergeCell ref="Q813:R813"/>
    <mergeCell ref="S813:V813"/>
    <mergeCell ref="X813:AA813"/>
    <mergeCell ref="AB813:AD813"/>
    <mergeCell ref="AE813:AG813"/>
    <mergeCell ref="Q812:R812"/>
    <mergeCell ref="S812:V812"/>
    <mergeCell ref="X812:AA812"/>
    <mergeCell ref="AB812:AD812"/>
    <mergeCell ref="B812:D812"/>
    <mergeCell ref="E812:I812"/>
    <mergeCell ref="J812:M812"/>
    <mergeCell ref="N812:P812"/>
    <mergeCell ref="AE810:AG810"/>
    <mergeCell ref="B811:D811"/>
    <mergeCell ref="E811:I811"/>
    <mergeCell ref="J811:M811"/>
    <mergeCell ref="N811:P811"/>
    <mergeCell ref="Q811:R811"/>
    <mergeCell ref="S811:V811"/>
    <mergeCell ref="X811:AA811"/>
    <mergeCell ref="AB811:AD811"/>
    <mergeCell ref="AE811:AG811"/>
    <mergeCell ref="Q810:R810"/>
    <mergeCell ref="S810:V810"/>
    <mergeCell ref="X810:AA810"/>
    <mergeCell ref="AB810:AD810"/>
    <mergeCell ref="B810:D810"/>
    <mergeCell ref="E810:I810"/>
    <mergeCell ref="J810:M810"/>
    <mergeCell ref="N810:P810"/>
    <mergeCell ref="AE808:AG808"/>
    <mergeCell ref="B809:D809"/>
    <mergeCell ref="E809:I809"/>
    <mergeCell ref="J809:M809"/>
    <mergeCell ref="N809:P809"/>
    <mergeCell ref="Q809:R809"/>
    <mergeCell ref="S809:V809"/>
    <mergeCell ref="X809:AA809"/>
    <mergeCell ref="AB809:AD809"/>
    <mergeCell ref="AE809:AG809"/>
    <mergeCell ref="Q808:R808"/>
    <mergeCell ref="S808:V808"/>
    <mergeCell ref="X808:AA808"/>
    <mergeCell ref="AB808:AD808"/>
    <mergeCell ref="B808:D808"/>
    <mergeCell ref="E808:I808"/>
    <mergeCell ref="J808:M808"/>
    <mergeCell ref="N808:P808"/>
    <mergeCell ref="AE806:AG806"/>
    <mergeCell ref="B807:D807"/>
    <mergeCell ref="E807:I807"/>
    <mergeCell ref="J807:M807"/>
    <mergeCell ref="N807:P807"/>
    <mergeCell ref="Q807:R807"/>
    <mergeCell ref="S807:V807"/>
    <mergeCell ref="X807:AA807"/>
    <mergeCell ref="AB807:AD807"/>
    <mergeCell ref="AE807:AG807"/>
    <mergeCell ref="Q806:R806"/>
    <mergeCell ref="S806:V806"/>
    <mergeCell ref="X806:AA806"/>
    <mergeCell ref="AB806:AD806"/>
    <mergeCell ref="B806:D806"/>
    <mergeCell ref="E806:I806"/>
    <mergeCell ref="J806:M806"/>
    <mergeCell ref="N806:P806"/>
    <mergeCell ref="AE804:AG804"/>
    <mergeCell ref="B805:D805"/>
    <mergeCell ref="E805:I805"/>
    <mergeCell ref="J805:M805"/>
    <mergeCell ref="N805:P805"/>
    <mergeCell ref="Q805:R805"/>
    <mergeCell ref="S805:V805"/>
    <mergeCell ref="X805:AA805"/>
    <mergeCell ref="AB805:AD805"/>
    <mergeCell ref="AE805:AG805"/>
    <mergeCell ref="Q804:R804"/>
    <mergeCell ref="S804:V804"/>
    <mergeCell ref="X804:AA804"/>
    <mergeCell ref="AB804:AD804"/>
    <mergeCell ref="B804:D804"/>
    <mergeCell ref="E804:I804"/>
    <mergeCell ref="J804:M804"/>
    <mergeCell ref="N804:P804"/>
    <mergeCell ref="AE802:AG802"/>
    <mergeCell ref="B803:D803"/>
    <mergeCell ref="E803:I803"/>
    <mergeCell ref="J803:M803"/>
    <mergeCell ref="N803:P803"/>
    <mergeCell ref="Q803:R803"/>
    <mergeCell ref="S803:V803"/>
    <mergeCell ref="X803:AA803"/>
    <mergeCell ref="AB803:AD803"/>
    <mergeCell ref="AE803:AG803"/>
    <mergeCell ref="Q802:R802"/>
    <mergeCell ref="S802:V802"/>
    <mergeCell ref="X802:AA802"/>
    <mergeCell ref="AB802:AD802"/>
    <mergeCell ref="B802:D802"/>
    <mergeCell ref="E802:I802"/>
    <mergeCell ref="J802:M802"/>
    <mergeCell ref="N802:P802"/>
    <mergeCell ref="AE800:AG800"/>
    <mergeCell ref="B801:D801"/>
    <mergeCell ref="E801:I801"/>
    <mergeCell ref="J801:M801"/>
    <mergeCell ref="N801:P801"/>
    <mergeCell ref="Q801:R801"/>
    <mergeCell ref="S801:V801"/>
    <mergeCell ref="X801:AA801"/>
    <mergeCell ref="AB801:AD801"/>
    <mergeCell ref="AE801:AG801"/>
    <mergeCell ref="Q800:R800"/>
    <mergeCell ref="S800:V800"/>
    <mergeCell ref="X800:AA800"/>
    <mergeCell ref="AB800:AD800"/>
    <mergeCell ref="B800:D800"/>
    <mergeCell ref="E800:I800"/>
    <mergeCell ref="J800:M800"/>
    <mergeCell ref="N800:P800"/>
    <mergeCell ref="AE798:AG798"/>
    <mergeCell ref="B799:D799"/>
    <mergeCell ref="E799:I799"/>
    <mergeCell ref="J799:M799"/>
    <mergeCell ref="N799:P799"/>
    <mergeCell ref="Q799:R799"/>
    <mergeCell ref="S799:V799"/>
    <mergeCell ref="X799:AA799"/>
    <mergeCell ref="AB799:AD799"/>
    <mergeCell ref="AE799:AG799"/>
    <mergeCell ref="Q798:R798"/>
    <mergeCell ref="S798:V798"/>
    <mergeCell ref="X798:AA798"/>
    <mergeCell ref="AB798:AD798"/>
    <mergeCell ref="B798:D798"/>
    <mergeCell ref="E798:I798"/>
    <mergeCell ref="J798:M798"/>
    <mergeCell ref="N798:P798"/>
    <mergeCell ref="AE796:AG796"/>
    <mergeCell ref="B797:D797"/>
    <mergeCell ref="E797:I797"/>
    <mergeCell ref="J797:M797"/>
    <mergeCell ref="N797:P797"/>
    <mergeCell ref="Q797:R797"/>
    <mergeCell ref="S797:V797"/>
    <mergeCell ref="X797:AA797"/>
    <mergeCell ref="AB797:AD797"/>
    <mergeCell ref="AE797:AG797"/>
    <mergeCell ref="Q796:R796"/>
    <mergeCell ref="S796:V796"/>
    <mergeCell ref="X796:AA796"/>
    <mergeCell ref="AB796:AD796"/>
    <mergeCell ref="B796:D796"/>
    <mergeCell ref="E796:I796"/>
    <mergeCell ref="J796:M796"/>
    <mergeCell ref="N796:P796"/>
    <mergeCell ref="AE794:AG794"/>
    <mergeCell ref="B795:D795"/>
    <mergeCell ref="E795:I795"/>
    <mergeCell ref="J795:M795"/>
    <mergeCell ref="N795:P795"/>
    <mergeCell ref="Q795:R795"/>
    <mergeCell ref="S795:V795"/>
    <mergeCell ref="X795:AA795"/>
    <mergeCell ref="AB795:AD795"/>
    <mergeCell ref="AE795:AG795"/>
    <mergeCell ref="Q794:R794"/>
    <mergeCell ref="S794:V794"/>
    <mergeCell ref="X794:AA794"/>
    <mergeCell ref="AB794:AD794"/>
    <mergeCell ref="B794:D794"/>
    <mergeCell ref="E794:I794"/>
    <mergeCell ref="J794:M794"/>
    <mergeCell ref="N794:P794"/>
    <mergeCell ref="AE792:AG792"/>
    <mergeCell ref="B793:D793"/>
    <mergeCell ref="E793:I793"/>
    <mergeCell ref="J793:M793"/>
    <mergeCell ref="N793:P793"/>
    <mergeCell ref="Q793:R793"/>
    <mergeCell ref="S793:V793"/>
    <mergeCell ref="X793:AA793"/>
    <mergeCell ref="AB793:AD793"/>
    <mergeCell ref="AE793:AG793"/>
    <mergeCell ref="Q792:R792"/>
    <mergeCell ref="S792:V792"/>
    <mergeCell ref="X792:AA792"/>
    <mergeCell ref="AB792:AD792"/>
    <mergeCell ref="B792:D792"/>
    <mergeCell ref="E792:I792"/>
    <mergeCell ref="J792:M792"/>
    <mergeCell ref="N792:P792"/>
    <mergeCell ref="AE790:AG790"/>
    <mergeCell ref="B791:D791"/>
    <mergeCell ref="E791:I791"/>
    <mergeCell ref="J791:M791"/>
    <mergeCell ref="N791:P791"/>
    <mergeCell ref="Q791:R791"/>
    <mergeCell ref="S791:V791"/>
    <mergeCell ref="X791:AA791"/>
    <mergeCell ref="AB791:AD791"/>
    <mergeCell ref="AE791:AG791"/>
    <mergeCell ref="Q790:R790"/>
    <mergeCell ref="S790:V790"/>
    <mergeCell ref="X790:AA790"/>
    <mergeCell ref="AB790:AD790"/>
    <mergeCell ref="B790:D790"/>
    <mergeCell ref="E790:I790"/>
    <mergeCell ref="J790:M790"/>
    <mergeCell ref="N790:P790"/>
    <mergeCell ref="AE788:AG788"/>
    <mergeCell ref="B789:D789"/>
    <mergeCell ref="E789:I789"/>
    <mergeCell ref="J789:M789"/>
    <mergeCell ref="N789:P789"/>
    <mergeCell ref="Q789:R789"/>
    <mergeCell ref="S789:V789"/>
    <mergeCell ref="X789:AA789"/>
    <mergeCell ref="AB789:AD789"/>
    <mergeCell ref="AE789:AG789"/>
    <mergeCell ref="Q788:R788"/>
    <mergeCell ref="S788:V788"/>
    <mergeCell ref="X788:AA788"/>
    <mergeCell ref="AB788:AD788"/>
    <mergeCell ref="B788:D788"/>
    <mergeCell ref="E788:I788"/>
    <mergeCell ref="J788:M788"/>
    <mergeCell ref="N788:P788"/>
    <mergeCell ref="AE786:AG786"/>
    <mergeCell ref="B787:D787"/>
    <mergeCell ref="E787:I787"/>
    <mergeCell ref="J787:M787"/>
    <mergeCell ref="N787:P787"/>
    <mergeCell ref="Q787:R787"/>
    <mergeCell ref="S787:V787"/>
    <mergeCell ref="X787:AA787"/>
    <mergeCell ref="AB787:AD787"/>
    <mergeCell ref="AE787:AG787"/>
    <mergeCell ref="Q786:R786"/>
    <mergeCell ref="S786:V786"/>
    <mergeCell ref="X786:AA786"/>
    <mergeCell ref="AB786:AD786"/>
    <mergeCell ref="B786:D786"/>
    <mergeCell ref="E786:I786"/>
    <mergeCell ref="J786:M786"/>
    <mergeCell ref="N786:P786"/>
    <mergeCell ref="AE784:AG784"/>
    <mergeCell ref="B785:D785"/>
    <mergeCell ref="E785:I785"/>
    <mergeCell ref="J785:M785"/>
    <mergeCell ref="N785:P785"/>
    <mergeCell ref="Q785:R785"/>
    <mergeCell ref="S785:V785"/>
    <mergeCell ref="X785:AA785"/>
    <mergeCell ref="AB785:AD785"/>
    <mergeCell ref="AE785:AG785"/>
    <mergeCell ref="Q784:R784"/>
    <mergeCell ref="S784:V784"/>
    <mergeCell ref="X784:AA784"/>
    <mergeCell ref="AB784:AD784"/>
    <mergeCell ref="B784:D784"/>
    <mergeCell ref="E784:I784"/>
    <mergeCell ref="J784:M784"/>
    <mergeCell ref="N784:P784"/>
    <mergeCell ref="AE782:AG782"/>
    <mergeCell ref="B783:D783"/>
    <mergeCell ref="E783:I783"/>
    <mergeCell ref="J783:M783"/>
    <mergeCell ref="N783:P783"/>
    <mergeCell ref="Q783:R783"/>
    <mergeCell ref="S783:V783"/>
    <mergeCell ref="X783:AA783"/>
    <mergeCell ref="AB783:AD783"/>
    <mergeCell ref="AE783:AG783"/>
    <mergeCell ref="Q782:R782"/>
    <mergeCell ref="S782:V782"/>
    <mergeCell ref="X782:AA782"/>
    <mergeCell ref="AB782:AD782"/>
    <mergeCell ref="B782:D782"/>
    <mergeCell ref="E782:I782"/>
    <mergeCell ref="J782:M782"/>
    <mergeCell ref="N782:P782"/>
    <mergeCell ref="AE780:AG780"/>
    <mergeCell ref="B781:D781"/>
    <mergeCell ref="E781:I781"/>
    <mergeCell ref="J781:M781"/>
    <mergeCell ref="N781:P781"/>
    <mergeCell ref="Q781:R781"/>
    <mergeCell ref="S781:V781"/>
    <mergeCell ref="X781:AA781"/>
    <mergeCell ref="AB781:AD781"/>
    <mergeCell ref="AE781:AG781"/>
    <mergeCell ref="Q780:R780"/>
    <mergeCell ref="S780:V780"/>
    <mergeCell ref="X780:AA780"/>
    <mergeCell ref="AB780:AD780"/>
    <mergeCell ref="B780:D780"/>
    <mergeCell ref="E780:I780"/>
    <mergeCell ref="J780:M780"/>
    <mergeCell ref="N780:P780"/>
    <mergeCell ref="AE778:AG778"/>
    <mergeCell ref="B779:D779"/>
    <mergeCell ref="E779:I779"/>
    <mergeCell ref="J779:M779"/>
    <mergeCell ref="N779:P779"/>
    <mergeCell ref="Q779:R779"/>
    <mergeCell ref="S779:V779"/>
    <mergeCell ref="X779:AA779"/>
    <mergeCell ref="AB779:AD779"/>
    <mergeCell ref="AE779:AG779"/>
    <mergeCell ref="Q778:R778"/>
    <mergeCell ref="S778:V778"/>
    <mergeCell ref="X778:AA778"/>
    <mergeCell ref="AB778:AD778"/>
    <mergeCell ref="B778:D778"/>
    <mergeCell ref="E778:I778"/>
    <mergeCell ref="J778:M778"/>
    <mergeCell ref="N778:P778"/>
    <mergeCell ref="AE776:AG776"/>
    <mergeCell ref="B777:D777"/>
    <mergeCell ref="E777:I777"/>
    <mergeCell ref="J777:M777"/>
    <mergeCell ref="N777:P777"/>
    <mergeCell ref="Q777:R777"/>
    <mergeCell ref="S777:V777"/>
    <mergeCell ref="X777:AA777"/>
    <mergeCell ref="AB777:AD777"/>
    <mergeCell ref="AE777:AG777"/>
    <mergeCell ref="Q776:R776"/>
    <mergeCell ref="S776:V776"/>
    <mergeCell ref="X776:AA776"/>
    <mergeCell ref="AB776:AD776"/>
    <mergeCell ref="B776:D776"/>
    <mergeCell ref="E776:I776"/>
    <mergeCell ref="J776:M776"/>
    <mergeCell ref="N776:P776"/>
    <mergeCell ref="AE774:AG774"/>
    <mergeCell ref="B775:D775"/>
    <mergeCell ref="E775:I775"/>
    <mergeCell ref="J775:M775"/>
    <mergeCell ref="N775:P775"/>
    <mergeCell ref="Q775:R775"/>
    <mergeCell ref="S775:V775"/>
    <mergeCell ref="X775:AA775"/>
    <mergeCell ref="AB775:AD775"/>
    <mergeCell ref="AE775:AG775"/>
    <mergeCell ref="Q774:R774"/>
    <mergeCell ref="S774:V774"/>
    <mergeCell ref="X774:AA774"/>
    <mergeCell ref="AB774:AD774"/>
    <mergeCell ref="B774:D774"/>
    <mergeCell ref="E774:I774"/>
    <mergeCell ref="J774:M774"/>
    <mergeCell ref="N774:P774"/>
    <mergeCell ref="AE772:AG772"/>
    <mergeCell ref="B773:D773"/>
    <mergeCell ref="E773:I773"/>
    <mergeCell ref="J773:M773"/>
    <mergeCell ref="N773:P773"/>
    <mergeCell ref="Q773:R773"/>
    <mergeCell ref="S773:V773"/>
    <mergeCell ref="X773:AA773"/>
    <mergeCell ref="AB773:AD773"/>
    <mergeCell ref="AE773:AG773"/>
    <mergeCell ref="Q772:R772"/>
    <mergeCell ref="S772:V772"/>
    <mergeCell ref="X772:AA772"/>
    <mergeCell ref="AB772:AD772"/>
    <mergeCell ref="B772:D772"/>
    <mergeCell ref="E772:I772"/>
    <mergeCell ref="J772:M772"/>
    <mergeCell ref="N772:P772"/>
    <mergeCell ref="AE770:AG770"/>
    <mergeCell ref="B771:D771"/>
    <mergeCell ref="E771:I771"/>
    <mergeCell ref="J771:M771"/>
    <mergeCell ref="N771:P771"/>
    <mergeCell ref="Q771:R771"/>
    <mergeCell ref="S771:V771"/>
    <mergeCell ref="X771:AA771"/>
    <mergeCell ref="AB771:AD771"/>
    <mergeCell ref="AE771:AG771"/>
    <mergeCell ref="Q770:R770"/>
    <mergeCell ref="S770:V770"/>
    <mergeCell ref="X770:AA770"/>
    <mergeCell ref="AB770:AD770"/>
    <mergeCell ref="B770:D770"/>
    <mergeCell ref="E770:I770"/>
    <mergeCell ref="J770:M770"/>
    <mergeCell ref="N770:P770"/>
    <mergeCell ref="AE768:AG768"/>
    <mergeCell ref="B769:D769"/>
    <mergeCell ref="E769:I769"/>
    <mergeCell ref="J769:M769"/>
    <mergeCell ref="N769:P769"/>
    <mergeCell ref="Q769:R769"/>
    <mergeCell ref="S769:V769"/>
    <mergeCell ref="X769:AA769"/>
    <mergeCell ref="AB769:AD769"/>
    <mergeCell ref="AE769:AG769"/>
    <mergeCell ref="Q768:R768"/>
    <mergeCell ref="S768:V768"/>
    <mergeCell ref="X768:AA768"/>
    <mergeCell ref="AB768:AD768"/>
    <mergeCell ref="B768:D768"/>
    <mergeCell ref="E768:I768"/>
    <mergeCell ref="J768:M768"/>
    <mergeCell ref="N768:P768"/>
    <mergeCell ref="AE766:AG766"/>
    <mergeCell ref="B767:D767"/>
    <mergeCell ref="E767:I767"/>
    <mergeCell ref="J767:M767"/>
    <mergeCell ref="N767:P767"/>
    <mergeCell ref="Q767:R767"/>
    <mergeCell ref="S767:V767"/>
    <mergeCell ref="X767:AA767"/>
    <mergeCell ref="AB767:AD767"/>
    <mergeCell ref="AE767:AG767"/>
    <mergeCell ref="Q766:R766"/>
    <mergeCell ref="S766:V766"/>
    <mergeCell ref="X766:AA766"/>
    <mergeCell ref="AB766:AD766"/>
    <mergeCell ref="B766:D766"/>
    <mergeCell ref="E766:I766"/>
    <mergeCell ref="J766:M766"/>
    <mergeCell ref="N766:P766"/>
    <mergeCell ref="AE764:AG764"/>
    <mergeCell ref="B765:D765"/>
    <mergeCell ref="E765:I765"/>
    <mergeCell ref="J765:M765"/>
    <mergeCell ref="N765:P765"/>
    <mergeCell ref="Q765:R765"/>
    <mergeCell ref="S765:V765"/>
    <mergeCell ref="X765:AA765"/>
    <mergeCell ref="AB765:AD765"/>
    <mergeCell ref="AE765:AG765"/>
    <mergeCell ref="Q764:R764"/>
    <mergeCell ref="S764:V764"/>
    <mergeCell ref="X764:AA764"/>
    <mergeCell ref="AB764:AD764"/>
    <mergeCell ref="B764:D764"/>
    <mergeCell ref="E764:I764"/>
    <mergeCell ref="J764:M764"/>
    <mergeCell ref="N764:P764"/>
    <mergeCell ref="AE762:AG762"/>
    <mergeCell ref="B763:D763"/>
    <mergeCell ref="E763:I763"/>
    <mergeCell ref="J763:M763"/>
    <mergeCell ref="N763:P763"/>
    <mergeCell ref="Q763:R763"/>
    <mergeCell ref="S763:V763"/>
    <mergeCell ref="X763:AA763"/>
    <mergeCell ref="AB763:AD763"/>
    <mergeCell ref="AE763:AG763"/>
    <mergeCell ref="Q762:R762"/>
    <mergeCell ref="S762:V762"/>
    <mergeCell ref="X762:AA762"/>
    <mergeCell ref="AB762:AD762"/>
    <mergeCell ref="B762:D762"/>
    <mergeCell ref="E762:I762"/>
    <mergeCell ref="J762:M762"/>
    <mergeCell ref="N762:P762"/>
    <mergeCell ref="AE760:AG760"/>
    <mergeCell ref="B761:D761"/>
    <mergeCell ref="E761:I761"/>
    <mergeCell ref="J761:M761"/>
    <mergeCell ref="N761:P761"/>
    <mergeCell ref="Q761:R761"/>
    <mergeCell ref="S761:V761"/>
    <mergeCell ref="X761:AA761"/>
    <mergeCell ref="AB761:AD761"/>
    <mergeCell ref="AE761:AG761"/>
    <mergeCell ref="Q760:R760"/>
    <mergeCell ref="S760:V760"/>
    <mergeCell ref="X760:AA760"/>
    <mergeCell ref="AB760:AD760"/>
    <mergeCell ref="B760:D760"/>
    <mergeCell ref="E760:I760"/>
    <mergeCell ref="J760:M760"/>
    <mergeCell ref="N760:P760"/>
    <mergeCell ref="AE758:AG758"/>
    <mergeCell ref="B759:D759"/>
    <mergeCell ref="E759:I759"/>
    <mergeCell ref="J759:M759"/>
    <mergeCell ref="N759:P759"/>
    <mergeCell ref="Q759:R759"/>
    <mergeCell ref="S759:V759"/>
    <mergeCell ref="X759:AA759"/>
    <mergeCell ref="AB759:AD759"/>
    <mergeCell ref="AE759:AG759"/>
    <mergeCell ref="Q758:R758"/>
    <mergeCell ref="S758:V758"/>
    <mergeCell ref="X758:AA758"/>
    <mergeCell ref="AB758:AD758"/>
    <mergeCell ref="B758:D758"/>
    <mergeCell ref="E758:I758"/>
    <mergeCell ref="J758:M758"/>
    <mergeCell ref="N758:P758"/>
    <mergeCell ref="AE756:AG756"/>
    <mergeCell ref="B757:D757"/>
    <mergeCell ref="E757:I757"/>
    <mergeCell ref="J757:M757"/>
    <mergeCell ref="N757:P757"/>
    <mergeCell ref="Q757:R757"/>
    <mergeCell ref="S757:V757"/>
    <mergeCell ref="X757:AA757"/>
    <mergeCell ref="AB757:AD757"/>
    <mergeCell ref="AE757:AG757"/>
    <mergeCell ref="Q756:R756"/>
    <mergeCell ref="S756:V756"/>
    <mergeCell ref="X756:AA756"/>
    <mergeCell ref="AB756:AD756"/>
    <mergeCell ref="B756:D756"/>
    <mergeCell ref="E756:I756"/>
    <mergeCell ref="J756:M756"/>
    <mergeCell ref="N756:P756"/>
    <mergeCell ref="AE754:AG754"/>
    <mergeCell ref="B755:D755"/>
    <mergeCell ref="E755:I755"/>
    <mergeCell ref="J755:M755"/>
    <mergeCell ref="N755:P755"/>
    <mergeCell ref="Q755:R755"/>
    <mergeCell ref="S755:V755"/>
    <mergeCell ref="X755:AA755"/>
    <mergeCell ref="AB755:AD755"/>
    <mergeCell ref="AE755:AG755"/>
    <mergeCell ref="Q754:R754"/>
    <mergeCell ref="S754:V754"/>
    <mergeCell ref="X754:AA754"/>
    <mergeCell ref="AB754:AD754"/>
    <mergeCell ref="B754:D754"/>
    <mergeCell ref="E754:I754"/>
    <mergeCell ref="J754:M754"/>
    <mergeCell ref="N754:P754"/>
    <mergeCell ref="AE752:AG752"/>
    <mergeCell ref="B753:D753"/>
    <mergeCell ref="E753:I753"/>
    <mergeCell ref="J753:M753"/>
    <mergeCell ref="N753:P753"/>
    <mergeCell ref="Q753:R753"/>
    <mergeCell ref="S753:V753"/>
    <mergeCell ref="X753:AA753"/>
    <mergeCell ref="AB753:AD753"/>
    <mergeCell ref="AE753:AG753"/>
    <mergeCell ref="Q752:R752"/>
    <mergeCell ref="S752:V752"/>
    <mergeCell ref="X752:AA752"/>
    <mergeCell ref="AB752:AD752"/>
    <mergeCell ref="B752:D752"/>
    <mergeCell ref="E752:I752"/>
    <mergeCell ref="J752:M752"/>
    <mergeCell ref="N752:P752"/>
    <mergeCell ref="AE750:AG750"/>
    <mergeCell ref="B751:D751"/>
    <mergeCell ref="E751:I751"/>
    <mergeCell ref="J751:M751"/>
    <mergeCell ref="N751:P751"/>
    <mergeCell ref="Q751:R751"/>
    <mergeCell ref="S751:V751"/>
    <mergeCell ref="X751:AA751"/>
    <mergeCell ref="AB751:AD751"/>
    <mergeCell ref="AE751:AG751"/>
    <mergeCell ref="Q750:R750"/>
    <mergeCell ref="S750:V750"/>
    <mergeCell ref="X750:AA750"/>
    <mergeCell ref="AB750:AD750"/>
    <mergeCell ref="B750:D750"/>
    <mergeCell ref="E750:I750"/>
    <mergeCell ref="J750:M750"/>
    <mergeCell ref="N750:P750"/>
    <mergeCell ref="AE748:AG748"/>
    <mergeCell ref="B749:D749"/>
    <mergeCell ref="E749:I749"/>
    <mergeCell ref="J749:M749"/>
    <mergeCell ref="N749:P749"/>
    <mergeCell ref="Q749:R749"/>
    <mergeCell ref="S749:V749"/>
    <mergeCell ref="X749:AA749"/>
    <mergeCell ref="AB749:AD749"/>
    <mergeCell ref="AE749:AG749"/>
    <mergeCell ref="Q748:R748"/>
    <mergeCell ref="S748:V748"/>
    <mergeCell ref="X748:AA748"/>
    <mergeCell ref="AB748:AD748"/>
    <mergeCell ref="B748:D748"/>
    <mergeCell ref="E748:I748"/>
    <mergeCell ref="J748:M748"/>
    <mergeCell ref="N748:P748"/>
    <mergeCell ref="AE746:AG746"/>
    <mergeCell ref="B747:D747"/>
    <mergeCell ref="E747:I747"/>
    <mergeCell ref="J747:M747"/>
    <mergeCell ref="N747:P747"/>
    <mergeCell ref="Q747:R747"/>
    <mergeCell ref="S747:V747"/>
    <mergeCell ref="X747:AA747"/>
    <mergeCell ref="AB747:AD747"/>
    <mergeCell ref="AE747:AG747"/>
    <mergeCell ref="Q746:R746"/>
    <mergeCell ref="S746:V746"/>
    <mergeCell ref="X746:AA746"/>
    <mergeCell ref="AB746:AD746"/>
    <mergeCell ref="B746:D746"/>
    <mergeCell ref="E746:I746"/>
    <mergeCell ref="J746:M746"/>
    <mergeCell ref="N746:P746"/>
    <mergeCell ref="AE744:AG744"/>
    <mergeCell ref="B745:D745"/>
    <mergeCell ref="E745:I745"/>
    <mergeCell ref="J745:M745"/>
    <mergeCell ref="N745:P745"/>
    <mergeCell ref="Q745:R745"/>
    <mergeCell ref="S745:V745"/>
    <mergeCell ref="X745:AA745"/>
    <mergeCell ref="AB745:AD745"/>
    <mergeCell ref="AE745:AG745"/>
    <mergeCell ref="Q744:R744"/>
    <mergeCell ref="S744:V744"/>
    <mergeCell ref="X744:AA744"/>
    <mergeCell ref="AB744:AD744"/>
    <mergeCell ref="B744:D744"/>
    <mergeCell ref="E744:I744"/>
    <mergeCell ref="J744:M744"/>
    <mergeCell ref="N744:P744"/>
    <mergeCell ref="AE742:AG742"/>
    <mergeCell ref="B743:D743"/>
    <mergeCell ref="E743:I743"/>
    <mergeCell ref="J743:M743"/>
    <mergeCell ref="N743:P743"/>
    <mergeCell ref="Q743:R743"/>
    <mergeCell ref="S743:V743"/>
    <mergeCell ref="X743:AA743"/>
    <mergeCell ref="AB743:AD743"/>
    <mergeCell ref="AE743:AG743"/>
    <mergeCell ref="Q742:R742"/>
    <mergeCell ref="S742:V742"/>
    <mergeCell ref="X742:AA742"/>
    <mergeCell ref="AB742:AD742"/>
    <mergeCell ref="B742:D742"/>
    <mergeCell ref="E742:I742"/>
    <mergeCell ref="J742:M742"/>
    <mergeCell ref="N742:P742"/>
    <mergeCell ref="AE740:AG740"/>
    <mergeCell ref="B741:D741"/>
    <mergeCell ref="E741:I741"/>
    <mergeCell ref="J741:M741"/>
    <mergeCell ref="N741:P741"/>
    <mergeCell ref="Q741:R741"/>
    <mergeCell ref="S741:V741"/>
    <mergeCell ref="X741:AA741"/>
    <mergeCell ref="AB741:AD741"/>
    <mergeCell ref="AE741:AG741"/>
    <mergeCell ref="Q740:R740"/>
    <mergeCell ref="S740:V740"/>
    <mergeCell ref="X740:AA740"/>
    <mergeCell ref="AB740:AD740"/>
    <mergeCell ref="B740:D740"/>
    <mergeCell ref="E740:I740"/>
    <mergeCell ref="J740:M740"/>
    <mergeCell ref="N740:P740"/>
    <mergeCell ref="AE738:AG738"/>
    <mergeCell ref="B739:D739"/>
    <mergeCell ref="E739:I739"/>
    <mergeCell ref="J739:M739"/>
    <mergeCell ref="N739:P739"/>
    <mergeCell ref="Q739:R739"/>
    <mergeCell ref="S739:V739"/>
    <mergeCell ref="X739:AA739"/>
    <mergeCell ref="AB739:AD739"/>
    <mergeCell ref="AE739:AG739"/>
    <mergeCell ref="Q738:R738"/>
    <mergeCell ref="S738:V738"/>
    <mergeCell ref="X738:AA738"/>
    <mergeCell ref="AB738:AD738"/>
    <mergeCell ref="B738:D738"/>
    <mergeCell ref="E738:I738"/>
    <mergeCell ref="J738:M738"/>
    <mergeCell ref="N738:P738"/>
    <mergeCell ref="AE736:AG736"/>
    <mergeCell ref="B737:D737"/>
    <mergeCell ref="E737:I737"/>
    <mergeCell ref="J737:M737"/>
    <mergeCell ref="N737:P737"/>
    <mergeCell ref="Q737:R737"/>
    <mergeCell ref="S737:V737"/>
    <mergeCell ref="X737:AA737"/>
    <mergeCell ref="AB737:AD737"/>
    <mergeCell ref="AE737:AG737"/>
    <mergeCell ref="Q736:R736"/>
    <mergeCell ref="S736:V736"/>
    <mergeCell ref="X736:AA736"/>
    <mergeCell ref="AB736:AD736"/>
    <mergeCell ref="B736:D736"/>
    <mergeCell ref="E736:I736"/>
    <mergeCell ref="J736:M736"/>
    <mergeCell ref="N736:P736"/>
    <mergeCell ref="AE734:AG734"/>
    <mergeCell ref="B735:D735"/>
    <mergeCell ref="E735:I735"/>
    <mergeCell ref="J735:M735"/>
    <mergeCell ref="N735:P735"/>
    <mergeCell ref="Q735:R735"/>
    <mergeCell ref="S735:V735"/>
    <mergeCell ref="X735:AA735"/>
    <mergeCell ref="AB735:AD735"/>
    <mergeCell ref="AE735:AG735"/>
    <mergeCell ref="Q734:R734"/>
    <mergeCell ref="S734:V734"/>
    <mergeCell ref="X734:AA734"/>
    <mergeCell ref="AB734:AD734"/>
    <mergeCell ref="B734:D734"/>
    <mergeCell ref="E734:I734"/>
    <mergeCell ref="J734:M734"/>
    <mergeCell ref="N734:P734"/>
    <mergeCell ref="AE732:AG732"/>
    <mergeCell ref="B733:D733"/>
    <mergeCell ref="E733:I733"/>
    <mergeCell ref="J733:M733"/>
    <mergeCell ref="N733:P733"/>
    <mergeCell ref="Q733:R733"/>
    <mergeCell ref="S733:V733"/>
    <mergeCell ref="X733:AA733"/>
    <mergeCell ref="AB733:AD733"/>
    <mergeCell ref="AE733:AG733"/>
    <mergeCell ref="Q732:R732"/>
    <mergeCell ref="S732:V732"/>
    <mergeCell ref="X732:AA732"/>
    <mergeCell ref="AB732:AD732"/>
    <mergeCell ref="B732:D732"/>
    <mergeCell ref="E732:I732"/>
    <mergeCell ref="J732:M732"/>
    <mergeCell ref="N732:P732"/>
    <mergeCell ref="AE730:AG730"/>
    <mergeCell ref="B731:D731"/>
    <mergeCell ref="E731:I731"/>
    <mergeCell ref="J731:M731"/>
    <mergeCell ref="N731:P731"/>
    <mergeCell ref="Q731:R731"/>
    <mergeCell ref="S731:V731"/>
    <mergeCell ref="X731:AA731"/>
    <mergeCell ref="AB731:AD731"/>
    <mergeCell ref="AE731:AG731"/>
    <mergeCell ref="Q730:R730"/>
    <mergeCell ref="S730:V730"/>
    <mergeCell ref="X730:AA730"/>
    <mergeCell ref="AB730:AD730"/>
    <mergeCell ref="B730:D730"/>
    <mergeCell ref="E730:I730"/>
    <mergeCell ref="J730:M730"/>
    <mergeCell ref="N730:P730"/>
    <mergeCell ref="AE728:AG728"/>
    <mergeCell ref="B729:D729"/>
    <mergeCell ref="E729:I729"/>
    <mergeCell ref="J729:M729"/>
    <mergeCell ref="N729:P729"/>
    <mergeCell ref="Q729:R729"/>
    <mergeCell ref="S729:V729"/>
    <mergeCell ref="X729:AA729"/>
    <mergeCell ref="AB729:AD729"/>
    <mergeCell ref="AE729:AG729"/>
    <mergeCell ref="Q728:R728"/>
    <mergeCell ref="S728:V728"/>
    <mergeCell ref="X728:AA728"/>
    <mergeCell ref="AB728:AD728"/>
    <mergeCell ref="B728:D728"/>
    <mergeCell ref="E728:I728"/>
    <mergeCell ref="J728:M728"/>
    <mergeCell ref="N728:P728"/>
    <mergeCell ref="AE726:AG726"/>
    <mergeCell ref="B727:D727"/>
    <mergeCell ref="E727:I727"/>
    <mergeCell ref="J727:M727"/>
    <mergeCell ref="N727:P727"/>
    <mergeCell ref="Q727:R727"/>
    <mergeCell ref="S727:V727"/>
    <mergeCell ref="X727:AA727"/>
    <mergeCell ref="AB727:AD727"/>
    <mergeCell ref="AE727:AG727"/>
    <mergeCell ref="Q726:R726"/>
    <mergeCell ref="S726:V726"/>
    <mergeCell ref="X726:AA726"/>
    <mergeCell ref="AB726:AD726"/>
    <mergeCell ref="B726:D726"/>
    <mergeCell ref="E726:I726"/>
    <mergeCell ref="J726:M726"/>
    <mergeCell ref="N726:P726"/>
    <mergeCell ref="AE724:AG724"/>
    <mergeCell ref="B725:D725"/>
    <mergeCell ref="E725:I725"/>
    <mergeCell ref="J725:M725"/>
    <mergeCell ref="N725:P725"/>
    <mergeCell ref="Q725:R725"/>
    <mergeCell ref="S725:V725"/>
    <mergeCell ref="X725:AA725"/>
    <mergeCell ref="AB725:AD725"/>
    <mergeCell ref="AE725:AG725"/>
    <mergeCell ref="Q724:R724"/>
    <mergeCell ref="S724:V724"/>
    <mergeCell ref="X724:AA724"/>
    <mergeCell ref="AB724:AD724"/>
    <mergeCell ref="B724:D724"/>
    <mergeCell ref="E724:I724"/>
    <mergeCell ref="J724:M724"/>
    <mergeCell ref="N724:P724"/>
    <mergeCell ref="AE722:AG722"/>
    <mergeCell ref="B723:D723"/>
    <mergeCell ref="E723:I723"/>
    <mergeCell ref="J723:M723"/>
    <mergeCell ref="N723:P723"/>
    <mergeCell ref="Q723:R723"/>
    <mergeCell ref="S723:V723"/>
    <mergeCell ref="X723:AA723"/>
    <mergeCell ref="AB723:AD723"/>
    <mergeCell ref="AE723:AG723"/>
    <mergeCell ref="Q722:R722"/>
    <mergeCell ref="S722:V722"/>
    <mergeCell ref="X722:AA722"/>
    <mergeCell ref="AB722:AD722"/>
    <mergeCell ref="B722:D722"/>
    <mergeCell ref="E722:I722"/>
    <mergeCell ref="J722:M722"/>
    <mergeCell ref="N722:P722"/>
    <mergeCell ref="AE720:AG720"/>
    <mergeCell ref="B721:D721"/>
    <mergeCell ref="E721:I721"/>
    <mergeCell ref="J721:M721"/>
    <mergeCell ref="N721:P721"/>
    <mergeCell ref="Q721:R721"/>
    <mergeCell ref="S721:V721"/>
    <mergeCell ref="X721:AA721"/>
    <mergeCell ref="AB721:AD721"/>
    <mergeCell ref="AE721:AG721"/>
    <mergeCell ref="Q720:R720"/>
    <mergeCell ref="S720:V720"/>
    <mergeCell ref="X720:AA720"/>
    <mergeCell ref="AB720:AD720"/>
    <mergeCell ref="B720:D720"/>
    <mergeCell ref="E720:I720"/>
    <mergeCell ref="J720:M720"/>
    <mergeCell ref="N720:P720"/>
    <mergeCell ref="AE718:AG718"/>
    <mergeCell ref="B719:D719"/>
    <mergeCell ref="E719:I719"/>
    <mergeCell ref="J719:M719"/>
    <mergeCell ref="N719:P719"/>
    <mergeCell ref="Q719:R719"/>
    <mergeCell ref="S719:V719"/>
    <mergeCell ref="X719:AA719"/>
    <mergeCell ref="AB719:AD719"/>
    <mergeCell ref="AE719:AG719"/>
    <mergeCell ref="Q718:R718"/>
    <mergeCell ref="S718:V718"/>
    <mergeCell ref="X718:AA718"/>
    <mergeCell ref="AB718:AD718"/>
    <mergeCell ref="B718:D718"/>
    <mergeCell ref="E718:I718"/>
    <mergeCell ref="J718:M718"/>
    <mergeCell ref="N718:P718"/>
    <mergeCell ref="AE716:AG716"/>
    <mergeCell ref="B717:D717"/>
    <mergeCell ref="E717:I717"/>
    <mergeCell ref="J717:M717"/>
    <mergeCell ref="N717:P717"/>
    <mergeCell ref="Q717:R717"/>
    <mergeCell ref="S717:V717"/>
    <mergeCell ref="X717:AA717"/>
    <mergeCell ref="AB717:AD717"/>
    <mergeCell ref="AE717:AG717"/>
    <mergeCell ref="Q716:R716"/>
    <mergeCell ref="S716:V716"/>
    <mergeCell ref="X716:AA716"/>
    <mergeCell ref="AB716:AD716"/>
    <mergeCell ref="B716:D716"/>
    <mergeCell ref="E716:I716"/>
    <mergeCell ref="J716:M716"/>
    <mergeCell ref="N716:P716"/>
    <mergeCell ref="AE714:AG714"/>
    <mergeCell ref="B715:D715"/>
    <mergeCell ref="E715:I715"/>
    <mergeCell ref="J715:M715"/>
    <mergeCell ref="N715:P715"/>
    <mergeCell ref="Q715:R715"/>
    <mergeCell ref="S715:V715"/>
    <mergeCell ref="X715:AA715"/>
    <mergeCell ref="AB715:AD715"/>
    <mergeCell ref="AE715:AG715"/>
    <mergeCell ref="Q714:R714"/>
    <mergeCell ref="S714:V714"/>
    <mergeCell ref="X714:AA714"/>
    <mergeCell ref="AB714:AD714"/>
    <mergeCell ref="B714:D714"/>
    <mergeCell ref="E714:I714"/>
    <mergeCell ref="J714:M714"/>
    <mergeCell ref="N714:P714"/>
    <mergeCell ref="AE712:AG712"/>
    <mergeCell ref="B713:D713"/>
    <mergeCell ref="E713:I713"/>
    <mergeCell ref="J713:M713"/>
    <mergeCell ref="N713:P713"/>
    <mergeCell ref="Q713:R713"/>
    <mergeCell ref="S713:V713"/>
    <mergeCell ref="X713:AA713"/>
    <mergeCell ref="AB713:AD713"/>
    <mergeCell ref="AE713:AG713"/>
    <mergeCell ref="Q712:R712"/>
    <mergeCell ref="S712:V712"/>
    <mergeCell ref="X712:AA712"/>
    <mergeCell ref="AB712:AD712"/>
    <mergeCell ref="B712:D712"/>
    <mergeCell ref="E712:I712"/>
    <mergeCell ref="J712:M712"/>
    <mergeCell ref="N712:P712"/>
    <mergeCell ref="AE710:AG710"/>
    <mergeCell ref="B711:D711"/>
    <mergeCell ref="E711:I711"/>
    <mergeCell ref="J711:M711"/>
    <mergeCell ref="N711:P711"/>
    <mergeCell ref="Q711:R711"/>
    <mergeCell ref="S711:V711"/>
    <mergeCell ref="X711:AA711"/>
    <mergeCell ref="AB711:AD711"/>
    <mergeCell ref="AE711:AG711"/>
    <mergeCell ref="Q710:R710"/>
    <mergeCell ref="S710:V710"/>
    <mergeCell ref="X710:AA710"/>
    <mergeCell ref="AB710:AD710"/>
    <mergeCell ref="B710:D710"/>
    <mergeCell ref="E710:I710"/>
    <mergeCell ref="J710:M710"/>
    <mergeCell ref="N710:P710"/>
    <mergeCell ref="AE708:AG708"/>
    <mergeCell ref="B709:D709"/>
    <mergeCell ref="E709:I709"/>
    <mergeCell ref="J709:M709"/>
    <mergeCell ref="N709:P709"/>
    <mergeCell ref="Q709:R709"/>
    <mergeCell ref="S709:V709"/>
    <mergeCell ref="X709:AA709"/>
    <mergeCell ref="AB709:AD709"/>
    <mergeCell ref="AE709:AG709"/>
    <mergeCell ref="Q708:R708"/>
    <mergeCell ref="S708:V708"/>
    <mergeCell ref="X708:AA708"/>
    <mergeCell ref="AB708:AD708"/>
    <mergeCell ref="B708:D708"/>
    <mergeCell ref="E708:I708"/>
    <mergeCell ref="J708:M708"/>
    <mergeCell ref="N708:P708"/>
    <mergeCell ref="AE706:AG706"/>
    <mergeCell ref="B707:D707"/>
    <mergeCell ref="E707:I707"/>
    <mergeCell ref="J707:M707"/>
    <mergeCell ref="N707:P707"/>
    <mergeCell ref="Q707:R707"/>
    <mergeCell ref="S707:V707"/>
    <mergeCell ref="X707:AA707"/>
    <mergeCell ref="AB707:AD707"/>
    <mergeCell ref="AE707:AG707"/>
    <mergeCell ref="Q706:R706"/>
    <mergeCell ref="S706:V706"/>
    <mergeCell ref="X706:AA706"/>
    <mergeCell ref="AB706:AD706"/>
    <mergeCell ref="B706:D706"/>
    <mergeCell ref="E706:I706"/>
    <mergeCell ref="J706:M706"/>
    <mergeCell ref="N706:P706"/>
    <mergeCell ref="AE704:AG704"/>
    <mergeCell ref="B705:D705"/>
    <mergeCell ref="E705:I705"/>
    <mergeCell ref="J705:M705"/>
    <mergeCell ref="N705:P705"/>
    <mergeCell ref="Q705:R705"/>
    <mergeCell ref="S705:V705"/>
    <mergeCell ref="X705:AA705"/>
    <mergeCell ref="AB705:AD705"/>
    <mergeCell ref="AE705:AG705"/>
    <mergeCell ref="Q704:R704"/>
    <mergeCell ref="S704:V704"/>
    <mergeCell ref="X704:AA704"/>
    <mergeCell ref="AB704:AD704"/>
    <mergeCell ref="B704:D704"/>
    <mergeCell ref="E704:I704"/>
    <mergeCell ref="J704:M704"/>
    <mergeCell ref="N704:P704"/>
    <mergeCell ref="AE702:AG702"/>
    <mergeCell ref="B703:D703"/>
    <mergeCell ref="E703:I703"/>
    <mergeCell ref="J703:M703"/>
    <mergeCell ref="N703:P703"/>
    <mergeCell ref="Q703:R703"/>
    <mergeCell ref="S703:V703"/>
    <mergeCell ref="X703:AA703"/>
    <mergeCell ref="AB703:AD703"/>
    <mergeCell ref="AE703:AG703"/>
    <mergeCell ref="Q702:R702"/>
    <mergeCell ref="S702:V702"/>
    <mergeCell ref="X702:AA702"/>
    <mergeCell ref="AB702:AD702"/>
    <mergeCell ref="B702:D702"/>
    <mergeCell ref="E702:I702"/>
    <mergeCell ref="J702:M702"/>
    <mergeCell ref="N702:P702"/>
    <mergeCell ref="AE700:AG700"/>
    <mergeCell ref="B701:D701"/>
    <mergeCell ref="E701:I701"/>
    <mergeCell ref="J701:M701"/>
    <mergeCell ref="N701:P701"/>
    <mergeCell ref="Q701:R701"/>
    <mergeCell ref="S701:V701"/>
    <mergeCell ref="X701:AA701"/>
    <mergeCell ref="AB701:AD701"/>
    <mergeCell ref="AE701:AG701"/>
    <mergeCell ref="Q700:R700"/>
    <mergeCell ref="S700:V700"/>
    <mergeCell ref="X700:AA700"/>
    <mergeCell ref="AB700:AD700"/>
    <mergeCell ref="B700:D700"/>
    <mergeCell ref="E700:I700"/>
    <mergeCell ref="J700:M700"/>
    <mergeCell ref="N700:P700"/>
    <mergeCell ref="AE698:AG698"/>
    <mergeCell ref="B699:D699"/>
    <mergeCell ref="E699:I699"/>
    <mergeCell ref="J699:M699"/>
    <mergeCell ref="N699:P699"/>
    <mergeCell ref="Q699:R699"/>
    <mergeCell ref="S699:V699"/>
    <mergeCell ref="X699:AA699"/>
    <mergeCell ref="AB699:AD699"/>
    <mergeCell ref="AE699:AG699"/>
    <mergeCell ref="Q698:R698"/>
    <mergeCell ref="S698:V698"/>
    <mergeCell ref="X698:AA698"/>
    <mergeCell ref="AB698:AD698"/>
    <mergeCell ref="B698:D698"/>
    <mergeCell ref="E698:I698"/>
    <mergeCell ref="J698:M698"/>
    <mergeCell ref="N698:P698"/>
    <mergeCell ref="AE696:AG696"/>
    <mergeCell ref="B697:D697"/>
    <mergeCell ref="E697:I697"/>
    <mergeCell ref="J697:M697"/>
    <mergeCell ref="N697:P697"/>
    <mergeCell ref="Q697:R697"/>
    <mergeCell ref="S697:V697"/>
    <mergeCell ref="X697:AA697"/>
    <mergeCell ref="AB697:AD697"/>
    <mergeCell ref="AE697:AG697"/>
    <mergeCell ref="Q696:R696"/>
    <mergeCell ref="S696:V696"/>
    <mergeCell ref="X696:AA696"/>
    <mergeCell ref="AB696:AD696"/>
    <mergeCell ref="B696:D696"/>
    <mergeCell ref="E696:I696"/>
    <mergeCell ref="J696:M696"/>
    <mergeCell ref="N696:P696"/>
    <mergeCell ref="AE694:AG694"/>
    <mergeCell ref="B695:D695"/>
    <mergeCell ref="E695:I695"/>
    <mergeCell ref="J695:M695"/>
    <mergeCell ref="N695:P695"/>
    <mergeCell ref="Q695:R695"/>
    <mergeCell ref="S695:V695"/>
    <mergeCell ref="X695:AA695"/>
    <mergeCell ref="AB695:AD695"/>
    <mergeCell ref="AE695:AG695"/>
    <mergeCell ref="Q694:R694"/>
    <mergeCell ref="S694:V694"/>
    <mergeCell ref="X694:AA694"/>
    <mergeCell ref="AB694:AD694"/>
    <mergeCell ref="B694:D694"/>
    <mergeCell ref="E694:I694"/>
    <mergeCell ref="J694:M694"/>
    <mergeCell ref="N694:P694"/>
    <mergeCell ref="AE692:AG692"/>
    <mergeCell ref="B693:D693"/>
    <mergeCell ref="E693:I693"/>
    <mergeCell ref="J693:M693"/>
    <mergeCell ref="N693:P693"/>
    <mergeCell ref="Q693:R693"/>
    <mergeCell ref="S693:V693"/>
    <mergeCell ref="X693:AA693"/>
    <mergeCell ref="AB693:AD693"/>
    <mergeCell ref="AE693:AG693"/>
    <mergeCell ref="Q692:R692"/>
    <mergeCell ref="S692:V692"/>
    <mergeCell ref="X692:AA692"/>
    <mergeCell ref="AB692:AD692"/>
    <mergeCell ref="B692:D692"/>
    <mergeCell ref="E692:I692"/>
    <mergeCell ref="J692:M692"/>
    <mergeCell ref="N692:P692"/>
    <mergeCell ref="AE690:AG690"/>
    <mergeCell ref="B691:D691"/>
    <mergeCell ref="E691:I691"/>
    <mergeCell ref="J691:M691"/>
    <mergeCell ref="N691:P691"/>
    <mergeCell ref="Q691:R691"/>
    <mergeCell ref="S691:V691"/>
    <mergeCell ref="X691:AA691"/>
    <mergeCell ref="AB691:AD691"/>
    <mergeCell ref="AE691:AG691"/>
    <mergeCell ref="Q690:R690"/>
    <mergeCell ref="S690:V690"/>
    <mergeCell ref="X690:AA690"/>
    <mergeCell ref="AB690:AD690"/>
    <mergeCell ref="B690:D690"/>
    <mergeCell ref="E690:I690"/>
    <mergeCell ref="J690:M690"/>
    <mergeCell ref="N690:P690"/>
    <mergeCell ref="AE688:AG688"/>
    <mergeCell ref="B689:D689"/>
    <mergeCell ref="E689:I689"/>
    <mergeCell ref="J689:M689"/>
    <mergeCell ref="N689:P689"/>
    <mergeCell ref="Q689:R689"/>
    <mergeCell ref="S689:V689"/>
    <mergeCell ref="X689:AA689"/>
    <mergeCell ref="AB689:AD689"/>
    <mergeCell ref="AE689:AG689"/>
    <mergeCell ref="Q688:R688"/>
    <mergeCell ref="S688:V688"/>
    <mergeCell ref="X688:AA688"/>
    <mergeCell ref="AB688:AD688"/>
    <mergeCell ref="B688:D688"/>
    <mergeCell ref="E688:I688"/>
    <mergeCell ref="J688:M688"/>
    <mergeCell ref="N688:P688"/>
    <mergeCell ref="AE686:AG686"/>
    <mergeCell ref="B687:D687"/>
    <mergeCell ref="E687:I687"/>
    <mergeCell ref="J687:M687"/>
    <mergeCell ref="N687:P687"/>
    <mergeCell ref="Q687:R687"/>
    <mergeCell ref="S687:V687"/>
    <mergeCell ref="X687:AA687"/>
    <mergeCell ref="AB687:AD687"/>
    <mergeCell ref="AE687:AG687"/>
    <mergeCell ref="Q686:R686"/>
    <mergeCell ref="S686:V686"/>
    <mergeCell ref="X686:AA686"/>
    <mergeCell ref="AB686:AD686"/>
    <mergeCell ref="B686:D686"/>
    <mergeCell ref="E686:I686"/>
    <mergeCell ref="J686:M686"/>
    <mergeCell ref="N686:P686"/>
    <mergeCell ref="AE684:AG684"/>
    <mergeCell ref="B685:D685"/>
    <mergeCell ref="E685:I685"/>
    <mergeCell ref="J685:M685"/>
    <mergeCell ref="N685:P685"/>
    <mergeCell ref="Q685:R685"/>
    <mergeCell ref="S685:V685"/>
    <mergeCell ref="X685:AA685"/>
    <mergeCell ref="AB685:AD685"/>
    <mergeCell ref="AE685:AG685"/>
    <mergeCell ref="Q684:R684"/>
    <mergeCell ref="S684:V684"/>
    <mergeCell ref="X684:AA684"/>
    <mergeCell ref="AB684:AD684"/>
    <mergeCell ref="B684:D684"/>
    <mergeCell ref="E684:I684"/>
    <mergeCell ref="J684:M684"/>
    <mergeCell ref="N684:P684"/>
    <mergeCell ref="AE682:AG682"/>
    <mergeCell ref="B683:D683"/>
    <mergeCell ref="E683:I683"/>
    <mergeCell ref="J683:M683"/>
    <mergeCell ref="N683:P683"/>
    <mergeCell ref="Q683:R683"/>
    <mergeCell ref="S683:V683"/>
    <mergeCell ref="X683:AA683"/>
    <mergeCell ref="AB683:AD683"/>
    <mergeCell ref="AE683:AG683"/>
    <mergeCell ref="Q682:R682"/>
    <mergeCell ref="S682:V682"/>
    <mergeCell ref="X682:AA682"/>
    <mergeCell ref="AB682:AD682"/>
    <mergeCell ref="B682:D682"/>
    <mergeCell ref="E682:I682"/>
    <mergeCell ref="J682:M682"/>
    <mergeCell ref="N682:P682"/>
    <mergeCell ref="AE680:AG680"/>
    <mergeCell ref="B681:D681"/>
    <mergeCell ref="E681:I681"/>
    <mergeCell ref="J681:M681"/>
    <mergeCell ref="N681:P681"/>
    <mergeCell ref="Q681:R681"/>
    <mergeCell ref="S681:V681"/>
    <mergeCell ref="X681:AA681"/>
    <mergeCell ref="AB681:AD681"/>
    <mergeCell ref="AE681:AG681"/>
    <mergeCell ref="Q680:R680"/>
    <mergeCell ref="S680:V680"/>
    <mergeCell ref="X680:AA680"/>
    <mergeCell ref="AB680:AD680"/>
    <mergeCell ref="B680:D680"/>
    <mergeCell ref="E680:I680"/>
    <mergeCell ref="J680:M680"/>
    <mergeCell ref="N680:P680"/>
    <mergeCell ref="AE678:AG678"/>
    <mergeCell ref="B679:D679"/>
    <mergeCell ref="E679:I679"/>
    <mergeCell ref="J679:M679"/>
    <mergeCell ref="N679:P679"/>
    <mergeCell ref="Q679:R679"/>
    <mergeCell ref="S679:V679"/>
    <mergeCell ref="X679:AA679"/>
    <mergeCell ref="AB679:AD679"/>
    <mergeCell ref="AE679:AG679"/>
    <mergeCell ref="Q678:R678"/>
    <mergeCell ref="S678:V678"/>
    <mergeCell ref="X678:AA678"/>
    <mergeCell ref="AB678:AD678"/>
    <mergeCell ref="B678:D678"/>
    <mergeCell ref="E678:I678"/>
    <mergeCell ref="J678:M678"/>
    <mergeCell ref="N678:P678"/>
    <mergeCell ref="AE676:AG676"/>
    <mergeCell ref="B677:D677"/>
    <mergeCell ref="E677:I677"/>
    <mergeCell ref="J677:M677"/>
    <mergeCell ref="N677:P677"/>
    <mergeCell ref="Q677:R677"/>
    <mergeCell ref="S677:V677"/>
    <mergeCell ref="X677:AA677"/>
    <mergeCell ref="AB677:AD677"/>
    <mergeCell ref="AE677:AG677"/>
    <mergeCell ref="Q676:R676"/>
    <mergeCell ref="S676:V676"/>
    <mergeCell ref="X676:AA676"/>
    <mergeCell ref="AB676:AD676"/>
    <mergeCell ref="B676:D676"/>
    <mergeCell ref="E676:I676"/>
    <mergeCell ref="J676:M676"/>
    <mergeCell ref="N676:P676"/>
    <mergeCell ref="AE674:AG674"/>
    <mergeCell ref="B675:D675"/>
    <mergeCell ref="E675:I675"/>
    <mergeCell ref="J675:M675"/>
    <mergeCell ref="N675:P675"/>
    <mergeCell ref="Q675:R675"/>
    <mergeCell ref="S675:V675"/>
    <mergeCell ref="X675:AA675"/>
    <mergeCell ref="AB675:AD675"/>
    <mergeCell ref="AE675:AG675"/>
    <mergeCell ref="Q674:R674"/>
    <mergeCell ref="S674:V674"/>
    <mergeCell ref="X674:AA674"/>
    <mergeCell ref="AB674:AD674"/>
    <mergeCell ref="B674:D674"/>
    <mergeCell ref="E674:I674"/>
    <mergeCell ref="J674:M674"/>
    <mergeCell ref="N674:P674"/>
    <mergeCell ref="AE672:AG672"/>
    <mergeCell ref="B673:D673"/>
    <mergeCell ref="E673:I673"/>
    <mergeCell ref="J673:M673"/>
    <mergeCell ref="N673:P673"/>
    <mergeCell ref="Q673:R673"/>
    <mergeCell ref="S673:V673"/>
    <mergeCell ref="X673:AA673"/>
    <mergeCell ref="AB673:AD673"/>
    <mergeCell ref="AE673:AG673"/>
    <mergeCell ref="Q672:R672"/>
    <mergeCell ref="S672:V672"/>
    <mergeCell ref="X672:AA672"/>
    <mergeCell ref="AB672:AD672"/>
    <mergeCell ref="B672:D672"/>
    <mergeCell ref="E672:I672"/>
    <mergeCell ref="J672:M672"/>
    <mergeCell ref="N672:P672"/>
    <mergeCell ref="AE670:AG670"/>
    <mergeCell ref="B671:D671"/>
    <mergeCell ref="E671:I671"/>
    <mergeCell ref="J671:M671"/>
    <mergeCell ref="N671:P671"/>
    <mergeCell ref="Q671:R671"/>
    <mergeCell ref="S671:V671"/>
    <mergeCell ref="X671:AA671"/>
    <mergeCell ref="AB671:AD671"/>
    <mergeCell ref="AE671:AG671"/>
    <mergeCell ref="Q670:R670"/>
    <mergeCell ref="S670:V670"/>
    <mergeCell ref="X670:AA670"/>
    <mergeCell ref="AB670:AD670"/>
    <mergeCell ref="B670:D670"/>
    <mergeCell ref="E670:I670"/>
    <mergeCell ref="J670:M670"/>
    <mergeCell ref="N670:P670"/>
    <mergeCell ref="AE668:AG668"/>
    <mergeCell ref="B669:D669"/>
    <mergeCell ref="E669:I669"/>
    <mergeCell ref="J669:M669"/>
    <mergeCell ref="N669:P669"/>
    <mergeCell ref="Q669:R669"/>
    <mergeCell ref="S669:V669"/>
    <mergeCell ref="X669:AA669"/>
    <mergeCell ref="AB669:AD669"/>
    <mergeCell ref="AE669:AG669"/>
    <mergeCell ref="Q668:R668"/>
    <mergeCell ref="S668:V668"/>
    <mergeCell ref="X668:AA668"/>
    <mergeCell ref="AB668:AD668"/>
    <mergeCell ref="B668:D668"/>
    <mergeCell ref="E668:I668"/>
    <mergeCell ref="J668:M668"/>
    <mergeCell ref="N668:P668"/>
    <mergeCell ref="AE666:AG666"/>
    <mergeCell ref="B667:D667"/>
    <mergeCell ref="E667:I667"/>
    <mergeCell ref="J667:M667"/>
    <mergeCell ref="N667:P667"/>
    <mergeCell ref="Q667:R667"/>
    <mergeCell ref="S667:V667"/>
    <mergeCell ref="X667:AA667"/>
    <mergeCell ref="AB667:AD667"/>
    <mergeCell ref="AE667:AG667"/>
    <mergeCell ref="Q666:R666"/>
    <mergeCell ref="S666:V666"/>
    <mergeCell ref="X666:AA666"/>
    <mergeCell ref="AB666:AD666"/>
    <mergeCell ref="B666:D666"/>
    <mergeCell ref="E666:I666"/>
    <mergeCell ref="J666:M666"/>
    <mergeCell ref="N666:P666"/>
    <mergeCell ref="AE664:AG664"/>
    <mergeCell ref="B665:D665"/>
    <mergeCell ref="E665:I665"/>
    <mergeCell ref="J665:M665"/>
    <mergeCell ref="N665:P665"/>
    <mergeCell ref="Q665:R665"/>
    <mergeCell ref="S665:V665"/>
    <mergeCell ref="X665:AA665"/>
    <mergeCell ref="AB665:AD665"/>
    <mergeCell ref="AE665:AG665"/>
    <mergeCell ref="Q664:R664"/>
    <mergeCell ref="S664:V664"/>
    <mergeCell ref="X664:AA664"/>
    <mergeCell ref="AB664:AD664"/>
    <mergeCell ref="B664:D664"/>
    <mergeCell ref="E664:I664"/>
    <mergeCell ref="J664:M664"/>
    <mergeCell ref="N664:P664"/>
    <mergeCell ref="AE662:AG662"/>
    <mergeCell ref="B663:D663"/>
    <mergeCell ref="E663:I663"/>
    <mergeCell ref="J663:M663"/>
    <mergeCell ref="N663:P663"/>
    <mergeCell ref="Q663:R663"/>
    <mergeCell ref="S663:V663"/>
    <mergeCell ref="X663:AA663"/>
    <mergeCell ref="AB663:AD663"/>
    <mergeCell ref="AE663:AG663"/>
    <mergeCell ref="Q662:R662"/>
    <mergeCell ref="S662:V662"/>
    <mergeCell ref="X662:AA662"/>
    <mergeCell ref="AB662:AD662"/>
    <mergeCell ref="B662:D662"/>
    <mergeCell ref="E662:I662"/>
    <mergeCell ref="J662:M662"/>
    <mergeCell ref="N662:P662"/>
    <mergeCell ref="AE660:AG660"/>
    <mergeCell ref="B661:D661"/>
    <mergeCell ref="E661:I661"/>
    <mergeCell ref="J661:M661"/>
    <mergeCell ref="N661:P661"/>
    <mergeCell ref="Q661:R661"/>
    <mergeCell ref="S661:V661"/>
    <mergeCell ref="X661:AA661"/>
    <mergeCell ref="AB661:AD661"/>
    <mergeCell ref="AE661:AG661"/>
    <mergeCell ref="Q660:R660"/>
    <mergeCell ref="S660:V660"/>
    <mergeCell ref="X660:AA660"/>
    <mergeCell ref="AB660:AD660"/>
    <mergeCell ref="B660:D660"/>
    <mergeCell ref="E660:I660"/>
    <mergeCell ref="J660:M660"/>
    <mergeCell ref="N660:P660"/>
    <mergeCell ref="AE658:AG658"/>
    <mergeCell ref="B659:D659"/>
    <mergeCell ref="E659:I659"/>
    <mergeCell ref="J659:M659"/>
    <mergeCell ref="N659:P659"/>
    <mergeCell ref="Q659:R659"/>
    <mergeCell ref="S659:V659"/>
    <mergeCell ref="X659:AA659"/>
    <mergeCell ref="AB659:AD659"/>
    <mergeCell ref="AE659:AG659"/>
    <mergeCell ref="Q658:R658"/>
    <mergeCell ref="S658:V658"/>
    <mergeCell ref="X658:AA658"/>
    <mergeCell ref="AB658:AD658"/>
    <mergeCell ref="B658:D658"/>
    <mergeCell ref="E658:I658"/>
    <mergeCell ref="J658:M658"/>
    <mergeCell ref="N658:P658"/>
    <mergeCell ref="AE656:AG656"/>
    <mergeCell ref="B657:D657"/>
    <mergeCell ref="E657:I657"/>
    <mergeCell ref="J657:M657"/>
    <mergeCell ref="N657:P657"/>
    <mergeCell ref="Q657:R657"/>
    <mergeCell ref="S657:V657"/>
    <mergeCell ref="X657:AA657"/>
    <mergeCell ref="AB657:AD657"/>
    <mergeCell ref="AE657:AG657"/>
    <mergeCell ref="Q656:R656"/>
    <mergeCell ref="S656:V656"/>
    <mergeCell ref="X656:AA656"/>
    <mergeCell ref="AB656:AD656"/>
    <mergeCell ref="B656:D656"/>
    <mergeCell ref="E656:I656"/>
    <mergeCell ref="J656:M656"/>
    <mergeCell ref="N656:P656"/>
    <mergeCell ref="AE654:AG654"/>
    <mergeCell ref="B655:D655"/>
    <mergeCell ref="E655:I655"/>
    <mergeCell ref="J655:M655"/>
    <mergeCell ref="N655:P655"/>
    <mergeCell ref="Q655:R655"/>
    <mergeCell ref="S655:V655"/>
    <mergeCell ref="X655:AA655"/>
    <mergeCell ref="AB655:AD655"/>
    <mergeCell ref="AE655:AG655"/>
    <mergeCell ref="Q654:R654"/>
    <mergeCell ref="S654:V654"/>
    <mergeCell ref="X654:AA654"/>
    <mergeCell ref="AB654:AD654"/>
    <mergeCell ref="B654:D654"/>
    <mergeCell ref="E654:I654"/>
    <mergeCell ref="J654:M654"/>
    <mergeCell ref="N654:P654"/>
    <mergeCell ref="AE652:AG652"/>
    <mergeCell ref="B653:D653"/>
    <mergeCell ref="E653:I653"/>
    <mergeCell ref="J653:M653"/>
    <mergeCell ref="N653:P653"/>
    <mergeCell ref="Q653:R653"/>
    <mergeCell ref="S653:V653"/>
    <mergeCell ref="X653:AA653"/>
    <mergeCell ref="AB653:AD653"/>
    <mergeCell ref="AE653:AG653"/>
    <mergeCell ref="Q652:R652"/>
    <mergeCell ref="S652:V652"/>
    <mergeCell ref="X652:AA652"/>
    <mergeCell ref="AB652:AD652"/>
    <mergeCell ref="B652:D652"/>
    <mergeCell ref="E652:I652"/>
    <mergeCell ref="J652:M652"/>
    <mergeCell ref="N652:P652"/>
    <mergeCell ref="AE650:AG650"/>
    <mergeCell ref="B651:D651"/>
    <mergeCell ref="E651:I651"/>
    <mergeCell ref="J651:M651"/>
    <mergeCell ref="N651:P651"/>
    <mergeCell ref="Q651:R651"/>
    <mergeCell ref="S651:V651"/>
    <mergeCell ref="X651:AA651"/>
    <mergeCell ref="AB651:AD651"/>
    <mergeCell ref="AE651:AG651"/>
    <mergeCell ref="Q650:R650"/>
    <mergeCell ref="S650:V650"/>
    <mergeCell ref="X650:AA650"/>
    <mergeCell ref="AB650:AD650"/>
    <mergeCell ref="B650:D650"/>
    <mergeCell ref="E650:I650"/>
    <mergeCell ref="J650:M650"/>
    <mergeCell ref="N650:P650"/>
    <mergeCell ref="AE648:AG648"/>
    <mergeCell ref="B649:D649"/>
    <mergeCell ref="E649:I649"/>
    <mergeCell ref="J649:M649"/>
    <mergeCell ref="N649:P649"/>
    <mergeCell ref="Q649:R649"/>
    <mergeCell ref="S649:V649"/>
    <mergeCell ref="X649:AA649"/>
    <mergeCell ref="AB649:AD649"/>
    <mergeCell ref="AE649:AG649"/>
    <mergeCell ref="Q648:R648"/>
    <mergeCell ref="S648:V648"/>
    <mergeCell ref="X648:AA648"/>
    <mergeCell ref="AB648:AD648"/>
    <mergeCell ref="B648:D648"/>
    <mergeCell ref="E648:I648"/>
    <mergeCell ref="J648:M648"/>
    <mergeCell ref="N648:P648"/>
    <mergeCell ref="AE646:AG646"/>
    <mergeCell ref="B647:D647"/>
    <mergeCell ref="E647:I647"/>
    <mergeCell ref="J647:M647"/>
    <mergeCell ref="N647:P647"/>
    <mergeCell ref="Q647:R647"/>
    <mergeCell ref="S647:V647"/>
    <mergeCell ref="X647:AA647"/>
    <mergeCell ref="AB647:AD647"/>
    <mergeCell ref="AE647:AG647"/>
    <mergeCell ref="Q646:R646"/>
    <mergeCell ref="S646:V646"/>
    <mergeCell ref="X646:AA646"/>
    <mergeCell ref="AB646:AD646"/>
    <mergeCell ref="B646:D646"/>
    <mergeCell ref="E646:I646"/>
    <mergeCell ref="J646:M646"/>
    <mergeCell ref="N646:P646"/>
    <mergeCell ref="AE644:AG644"/>
    <mergeCell ref="B645:D645"/>
    <mergeCell ref="E645:I645"/>
    <mergeCell ref="J645:M645"/>
    <mergeCell ref="N645:P645"/>
    <mergeCell ref="Q645:R645"/>
    <mergeCell ref="S645:V645"/>
    <mergeCell ref="X645:AA645"/>
    <mergeCell ref="AB645:AD645"/>
    <mergeCell ref="AE645:AG645"/>
    <mergeCell ref="Q644:R644"/>
    <mergeCell ref="S644:V644"/>
    <mergeCell ref="X644:AA644"/>
    <mergeCell ref="AB644:AD644"/>
    <mergeCell ref="B644:D644"/>
    <mergeCell ref="E644:I644"/>
    <mergeCell ref="J644:M644"/>
    <mergeCell ref="N644:P644"/>
    <mergeCell ref="AE642:AG642"/>
    <mergeCell ref="B643:D643"/>
    <mergeCell ref="E643:I643"/>
    <mergeCell ref="J643:M643"/>
    <mergeCell ref="N643:P643"/>
    <mergeCell ref="Q643:R643"/>
    <mergeCell ref="S643:V643"/>
    <mergeCell ref="X643:AA643"/>
    <mergeCell ref="AB643:AD643"/>
    <mergeCell ref="AE643:AG643"/>
    <mergeCell ref="Q642:R642"/>
    <mergeCell ref="S642:V642"/>
    <mergeCell ref="X642:AA642"/>
    <mergeCell ref="AB642:AD642"/>
    <mergeCell ref="B642:D642"/>
    <mergeCell ref="E642:I642"/>
    <mergeCell ref="J642:M642"/>
    <mergeCell ref="N642:P642"/>
    <mergeCell ref="AE640:AG640"/>
    <mergeCell ref="B641:D641"/>
    <mergeCell ref="E641:I641"/>
    <mergeCell ref="J641:M641"/>
    <mergeCell ref="N641:P641"/>
    <mergeCell ref="Q641:R641"/>
    <mergeCell ref="S641:V641"/>
    <mergeCell ref="X641:AA641"/>
    <mergeCell ref="AB641:AD641"/>
    <mergeCell ref="AE641:AG641"/>
    <mergeCell ref="Q640:R640"/>
    <mergeCell ref="S640:V640"/>
    <mergeCell ref="X640:AA640"/>
    <mergeCell ref="AB640:AD640"/>
    <mergeCell ref="B640:D640"/>
    <mergeCell ref="E640:I640"/>
    <mergeCell ref="J640:M640"/>
    <mergeCell ref="N640:P640"/>
    <mergeCell ref="AE638:AG638"/>
    <mergeCell ref="B639:D639"/>
    <mergeCell ref="E639:I639"/>
    <mergeCell ref="J639:M639"/>
    <mergeCell ref="N639:P639"/>
    <mergeCell ref="Q639:R639"/>
    <mergeCell ref="S639:V639"/>
    <mergeCell ref="X639:AA639"/>
    <mergeCell ref="AB639:AD639"/>
    <mergeCell ref="AE639:AG639"/>
    <mergeCell ref="Q638:R638"/>
    <mergeCell ref="S638:V638"/>
    <mergeCell ref="X638:AA638"/>
    <mergeCell ref="AB638:AD638"/>
    <mergeCell ref="B638:D638"/>
    <mergeCell ref="E638:I638"/>
    <mergeCell ref="J638:M638"/>
    <mergeCell ref="N638:P638"/>
    <mergeCell ref="AE636:AG636"/>
    <mergeCell ref="B637:D637"/>
    <mergeCell ref="E637:I637"/>
    <mergeCell ref="J637:M637"/>
    <mergeCell ref="N637:P637"/>
    <mergeCell ref="Q637:R637"/>
    <mergeCell ref="S637:V637"/>
    <mergeCell ref="X637:AA637"/>
    <mergeCell ref="AB637:AD637"/>
    <mergeCell ref="AE637:AG637"/>
    <mergeCell ref="Q636:R636"/>
    <mergeCell ref="S636:V636"/>
    <mergeCell ref="X636:AA636"/>
    <mergeCell ref="AB636:AD636"/>
    <mergeCell ref="B636:D636"/>
    <mergeCell ref="E636:I636"/>
    <mergeCell ref="J636:M636"/>
    <mergeCell ref="N636:P636"/>
    <mergeCell ref="AE634:AG634"/>
    <mergeCell ref="B635:D635"/>
    <mergeCell ref="E635:I635"/>
    <mergeCell ref="J635:M635"/>
    <mergeCell ref="N635:P635"/>
    <mergeCell ref="Q635:R635"/>
    <mergeCell ref="S635:V635"/>
    <mergeCell ref="X635:AA635"/>
    <mergeCell ref="AB635:AD635"/>
    <mergeCell ref="AE635:AG635"/>
    <mergeCell ref="Q634:R634"/>
    <mergeCell ref="S634:V634"/>
    <mergeCell ref="X634:AA634"/>
    <mergeCell ref="AB634:AD634"/>
    <mergeCell ref="B634:D634"/>
    <mergeCell ref="E634:I634"/>
    <mergeCell ref="J634:M634"/>
    <mergeCell ref="N634:P634"/>
    <mergeCell ref="AE632:AG632"/>
    <mergeCell ref="B633:D633"/>
    <mergeCell ref="E633:I633"/>
    <mergeCell ref="J633:M633"/>
    <mergeCell ref="N633:P633"/>
    <mergeCell ref="Q633:R633"/>
    <mergeCell ref="S633:V633"/>
    <mergeCell ref="X633:AA633"/>
    <mergeCell ref="AB633:AD633"/>
    <mergeCell ref="AE633:AG633"/>
    <mergeCell ref="Q632:R632"/>
    <mergeCell ref="S632:V632"/>
    <mergeCell ref="X632:AA632"/>
    <mergeCell ref="AB632:AD632"/>
    <mergeCell ref="B632:D632"/>
    <mergeCell ref="E632:I632"/>
    <mergeCell ref="J632:M632"/>
    <mergeCell ref="N632:P632"/>
    <mergeCell ref="AE630:AG630"/>
    <mergeCell ref="B631:D631"/>
    <mergeCell ref="E631:I631"/>
    <mergeCell ref="J631:M631"/>
    <mergeCell ref="N631:P631"/>
    <mergeCell ref="Q631:R631"/>
    <mergeCell ref="S631:V631"/>
    <mergeCell ref="X631:AA631"/>
    <mergeCell ref="AB631:AD631"/>
    <mergeCell ref="AE631:AG631"/>
    <mergeCell ref="Q630:R630"/>
    <mergeCell ref="S630:V630"/>
    <mergeCell ref="X630:AA630"/>
    <mergeCell ref="AB630:AD630"/>
    <mergeCell ref="B630:D630"/>
    <mergeCell ref="E630:I630"/>
    <mergeCell ref="J630:M630"/>
    <mergeCell ref="N630:P630"/>
    <mergeCell ref="AE628:AG628"/>
    <mergeCell ref="B629:D629"/>
    <mergeCell ref="E629:I629"/>
    <mergeCell ref="J629:M629"/>
    <mergeCell ref="N629:P629"/>
    <mergeCell ref="Q629:R629"/>
    <mergeCell ref="S629:V629"/>
    <mergeCell ref="X629:AA629"/>
    <mergeCell ref="AB629:AD629"/>
    <mergeCell ref="AE629:AG629"/>
    <mergeCell ref="Q628:R628"/>
    <mergeCell ref="S628:V628"/>
    <mergeCell ref="X628:AA628"/>
    <mergeCell ref="AB628:AD628"/>
    <mergeCell ref="B628:D628"/>
    <mergeCell ref="E628:I628"/>
    <mergeCell ref="J628:M628"/>
    <mergeCell ref="N628:P628"/>
    <mergeCell ref="AE626:AG626"/>
    <mergeCell ref="B627:D627"/>
    <mergeCell ref="E627:I627"/>
    <mergeCell ref="J627:M627"/>
    <mergeCell ref="N627:P627"/>
    <mergeCell ref="Q627:R627"/>
    <mergeCell ref="S627:V627"/>
    <mergeCell ref="X627:AA627"/>
    <mergeCell ref="AB627:AD627"/>
    <mergeCell ref="AE627:AG627"/>
    <mergeCell ref="Q626:R626"/>
    <mergeCell ref="S626:V626"/>
    <mergeCell ref="X626:AA626"/>
    <mergeCell ref="AB626:AD626"/>
    <mergeCell ref="B626:D626"/>
    <mergeCell ref="E626:I626"/>
    <mergeCell ref="J626:M626"/>
    <mergeCell ref="N626:P626"/>
    <mergeCell ref="AE624:AG624"/>
    <mergeCell ref="B625:D625"/>
    <mergeCell ref="E625:I625"/>
    <mergeCell ref="J625:M625"/>
    <mergeCell ref="N625:P625"/>
    <mergeCell ref="Q625:R625"/>
    <mergeCell ref="S625:V625"/>
    <mergeCell ref="X625:AA625"/>
    <mergeCell ref="AB625:AD625"/>
    <mergeCell ref="AE625:AG625"/>
    <mergeCell ref="Q624:R624"/>
    <mergeCell ref="S624:V624"/>
    <mergeCell ref="X624:AA624"/>
    <mergeCell ref="AB624:AD624"/>
    <mergeCell ref="B624:D624"/>
    <mergeCell ref="E624:I624"/>
    <mergeCell ref="J624:M624"/>
    <mergeCell ref="N624:P624"/>
    <mergeCell ref="AE622:AG622"/>
    <mergeCell ref="B623:D623"/>
    <mergeCell ref="E623:I623"/>
    <mergeCell ref="J623:M623"/>
    <mergeCell ref="N623:P623"/>
    <mergeCell ref="Q623:R623"/>
    <mergeCell ref="S623:V623"/>
    <mergeCell ref="X623:AA623"/>
    <mergeCell ref="AB623:AD623"/>
    <mergeCell ref="AE623:AG623"/>
    <mergeCell ref="Q622:R622"/>
    <mergeCell ref="S622:V622"/>
    <mergeCell ref="X622:AA622"/>
    <mergeCell ref="AB622:AD622"/>
    <mergeCell ref="B622:D622"/>
    <mergeCell ref="E622:I622"/>
    <mergeCell ref="J622:M622"/>
    <mergeCell ref="N622:P622"/>
    <mergeCell ref="AE620:AG620"/>
    <mergeCell ref="B621:D621"/>
    <mergeCell ref="E621:I621"/>
    <mergeCell ref="J621:M621"/>
    <mergeCell ref="N621:P621"/>
    <mergeCell ref="Q621:R621"/>
    <mergeCell ref="S621:V621"/>
    <mergeCell ref="X621:AA621"/>
    <mergeCell ref="AB621:AD621"/>
    <mergeCell ref="AE621:AG621"/>
    <mergeCell ref="Q620:R620"/>
    <mergeCell ref="S620:V620"/>
    <mergeCell ref="X620:AA620"/>
    <mergeCell ref="AB620:AD620"/>
    <mergeCell ref="B620:D620"/>
    <mergeCell ref="E620:I620"/>
    <mergeCell ref="J620:M620"/>
    <mergeCell ref="N620:P620"/>
    <mergeCell ref="AE618:AG618"/>
    <mergeCell ref="B619:D619"/>
    <mergeCell ref="E619:I619"/>
    <mergeCell ref="J619:M619"/>
    <mergeCell ref="N619:P619"/>
    <mergeCell ref="Q619:R619"/>
    <mergeCell ref="S619:V619"/>
    <mergeCell ref="X619:AA619"/>
    <mergeCell ref="AB619:AD619"/>
    <mergeCell ref="AE619:AG619"/>
    <mergeCell ref="Q618:R618"/>
    <mergeCell ref="S618:V618"/>
    <mergeCell ref="X618:AA618"/>
    <mergeCell ref="AB618:AD618"/>
    <mergeCell ref="B618:D618"/>
    <mergeCell ref="E618:I618"/>
    <mergeCell ref="J618:M618"/>
    <mergeCell ref="N618:P618"/>
    <mergeCell ref="AE616:AG616"/>
    <mergeCell ref="B617:D617"/>
    <mergeCell ref="E617:I617"/>
    <mergeCell ref="J617:M617"/>
    <mergeCell ref="N617:P617"/>
    <mergeCell ref="Q617:R617"/>
    <mergeCell ref="S617:V617"/>
    <mergeCell ref="X617:AA617"/>
    <mergeCell ref="AB617:AD617"/>
    <mergeCell ref="AE617:AG617"/>
    <mergeCell ref="Q616:R616"/>
    <mergeCell ref="S616:V616"/>
    <mergeCell ref="X616:AA616"/>
    <mergeCell ref="AB616:AD616"/>
    <mergeCell ref="B616:D616"/>
    <mergeCell ref="E616:I616"/>
    <mergeCell ref="J616:M616"/>
    <mergeCell ref="N616:P616"/>
    <mergeCell ref="AE614:AG614"/>
    <mergeCell ref="B615:D615"/>
    <mergeCell ref="E615:I615"/>
    <mergeCell ref="J615:M615"/>
    <mergeCell ref="N615:P615"/>
    <mergeCell ref="Q615:R615"/>
    <mergeCell ref="S615:V615"/>
    <mergeCell ref="X615:AA615"/>
    <mergeCell ref="AB615:AD615"/>
    <mergeCell ref="AE615:AG615"/>
    <mergeCell ref="Q614:R614"/>
    <mergeCell ref="S614:V614"/>
    <mergeCell ref="X614:AA614"/>
    <mergeCell ref="AB614:AD614"/>
    <mergeCell ref="B614:D614"/>
    <mergeCell ref="E614:I614"/>
    <mergeCell ref="J614:M614"/>
    <mergeCell ref="N614:P614"/>
    <mergeCell ref="AE612:AG612"/>
    <mergeCell ref="B613:D613"/>
    <mergeCell ref="E613:I613"/>
    <mergeCell ref="J613:M613"/>
    <mergeCell ref="N613:P613"/>
    <mergeCell ref="Q613:R613"/>
    <mergeCell ref="S613:V613"/>
    <mergeCell ref="X613:AA613"/>
    <mergeCell ref="AB613:AD613"/>
    <mergeCell ref="AE613:AG613"/>
    <mergeCell ref="Q612:R612"/>
    <mergeCell ref="S612:V612"/>
    <mergeCell ref="X612:AA612"/>
    <mergeCell ref="AB612:AD612"/>
    <mergeCell ref="B612:D612"/>
    <mergeCell ref="E612:I612"/>
    <mergeCell ref="J612:M612"/>
    <mergeCell ref="N612:P612"/>
    <mergeCell ref="AE610:AG610"/>
    <mergeCell ref="B611:D611"/>
    <mergeCell ref="E611:I611"/>
    <mergeCell ref="J611:M611"/>
    <mergeCell ref="N611:P611"/>
    <mergeCell ref="Q611:R611"/>
    <mergeCell ref="S611:V611"/>
    <mergeCell ref="X611:AA611"/>
    <mergeCell ref="AB611:AD611"/>
    <mergeCell ref="AE611:AG611"/>
    <mergeCell ref="Q610:R610"/>
    <mergeCell ref="S610:V610"/>
    <mergeCell ref="X610:AA610"/>
    <mergeCell ref="AB610:AD610"/>
    <mergeCell ref="B610:D610"/>
    <mergeCell ref="E610:I610"/>
    <mergeCell ref="J610:M610"/>
    <mergeCell ref="N610:P610"/>
    <mergeCell ref="AE608:AG608"/>
    <mergeCell ref="B609:D609"/>
    <mergeCell ref="E609:I609"/>
    <mergeCell ref="J609:M609"/>
    <mergeCell ref="N609:P609"/>
    <mergeCell ref="Q609:R609"/>
    <mergeCell ref="S609:V609"/>
    <mergeCell ref="X609:AA609"/>
    <mergeCell ref="AB609:AD609"/>
    <mergeCell ref="AE609:AG609"/>
    <mergeCell ref="Q608:R608"/>
    <mergeCell ref="S608:V608"/>
    <mergeCell ref="X608:AA608"/>
    <mergeCell ref="AB608:AD608"/>
    <mergeCell ref="B608:D608"/>
    <mergeCell ref="E608:I608"/>
    <mergeCell ref="J608:M608"/>
    <mergeCell ref="N608:P608"/>
    <mergeCell ref="AE606:AG606"/>
    <mergeCell ref="B607:D607"/>
    <mergeCell ref="E607:I607"/>
    <mergeCell ref="J607:M607"/>
    <mergeCell ref="N607:P607"/>
    <mergeCell ref="Q607:R607"/>
    <mergeCell ref="S607:V607"/>
    <mergeCell ref="X607:AA607"/>
    <mergeCell ref="AB607:AD607"/>
    <mergeCell ref="AE607:AG607"/>
    <mergeCell ref="Q606:R606"/>
    <mergeCell ref="S606:V606"/>
    <mergeCell ref="X606:AA606"/>
    <mergeCell ref="AB606:AD606"/>
    <mergeCell ref="B606:D606"/>
    <mergeCell ref="E606:I606"/>
    <mergeCell ref="J606:M606"/>
    <mergeCell ref="N606:P606"/>
    <mergeCell ref="AE604:AG604"/>
    <mergeCell ref="B605:D605"/>
    <mergeCell ref="E605:I605"/>
    <mergeCell ref="J605:M605"/>
    <mergeCell ref="N605:P605"/>
    <mergeCell ref="Q605:R605"/>
    <mergeCell ref="S605:V605"/>
    <mergeCell ref="X605:AA605"/>
    <mergeCell ref="AB605:AD605"/>
    <mergeCell ref="AE605:AG605"/>
    <mergeCell ref="Q604:R604"/>
    <mergeCell ref="S604:V604"/>
    <mergeCell ref="X604:AA604"/>
    <mergeCell ref="AB604:AD604"/>
    <mergeCell ref="B604:D604"/>
    <mergeCell ref="E604:I604"/>
    <mergeCell ref="J604:M604"/>
    <mergeCell ref="N604:P604"/>
    <mergeCell ref="AE602:AG602"/>
    <mergeCell ref="B603:D603"/>
    <mergeCell ref="E603:I603"/>
    <mergeCell ref="J603:M603"/>
    <mergeCell ref="N603:P603"/>
    <mergeCell ref="Q603:R603"/>
    <mergeCell ref="S603:V603"/>
    <mergeCell ref="X603:AA603"/>
    <mergeCell ref="AB603:AD603"/>
    <mergeCell ref="AE603:AG603"/>
    <mergeCell ref="Q602:R602"/>
    <mergeCell ref="S602:V602"/>
    <mergeCell ref="X602:AA602"/>
    <mergeCell ref="AB602:AD602"/>
    <mergeCell ref="B602:D602"/>
    <mergeCell ref="E602:I602"/>
    <mergeCell ref="J602:M602"/>
    <mergeCell ref="N602:P602"/>
    <mergeCell ref="AE600:AG600"/>
    <mergeCell ref="B601:D601"/>
    <mergeCell ref="E601:I601"/>
    <mergeCell ref="J601:M601"/>
    <mergeCell ref="N601:P601"/>
    <mergeCell ref="Q601:R601"/>
    <mergeCell ref="S601:V601"/>
    <mergeCell ref="X601:AA601"/>
    <mergeCell ref="AB601:AD601"/>
    <mergeCell ref="AE601:AG601"/>
    <mergeCell ref="Q600:R600"/>
    <mergeCell ref="S600:V600"/>
    <mergeCell ref="X600:AA600"/>
    <mergeCell ref="AB600:AD600"/>
    <mergeCell ref="B600:D600"/>
    <mergeCell ref="E600:I600"/>
    <mergeCell ref="J600:M600"/>
    <mergeCell ref="N600:P600"/>
    <mergeCell ref="AE598:AG598"/>
    <mergeCell ref="B599:D599"/>
    <mergeCell ref="E599:I599"/>
    <mergeCell ref="J599:M599"/>
    <mergeCell ref="N599:P599"/>
    <mergeCell ref="Q599:R599"/>
    <mergeCell ref="S599:V599"/>
    <mergeCell ref="X599:AA599"/>
    <mergeCell ref="AB599:AD599"/>
    <mergeCell ref="AE599:AG599"/>
    <mergeCell ref="Q598:R598"/>
    <mergeCell ref="S598:V598"/>
    <mergeCell ref="X598:AA598"/>
    <mergeCell ref="AB598:AD598"/>
    <mergeCell ref="B598:D598"/>
    <mergeCell ref="E598:I598"/>
    <mergeCell ref="J598:M598"/>
    <mergeCell ref="N598:P598"/>
    <mergeCell ref="AE596:AG596"/>
    <mergeCell ref="B597:D597"/>
    <mergeCell ref="E597:I597"/>
    <mergeCell ref="J597:M597"/>
    <mergeCell ref="N597:P597"/>
    <mergeCell ref="Q597:R597"/>
    <mergeCell ref="S597:V597"/>
    <mergeCell ref="X597:AA597"/>
    <mergeCell ref="AB597:AD597"/>
    <mergeCell ref="AE597:AG597"/>
    <mergeCell ref="Q596:R596"/>
    <mergeCell ref="S596:V596"/>
    <mergeCell ref="X596:AA596"/>
    <mergeCell ref="AB596:AD596"/>
    <mergeCell ref="B596:D596"/>
    <mergeCell ref="E596:I596"/>
    <mergeCell ref="J596:M596"/>
    <mergeCell ref="N596:P596"/>
    <mergeCell ref="AE594:AG594"/>
    <mergeCell ref="B595:D595"/>
    <mergeCell ref="E595:I595"/>
    <mergeCell ref="J595:M595"/>
    <mergeCell ref="N595:P595"/>
    <mergeCell ref="Q595:R595"/>
    <mergeCell ref="S595:V595"/>
    <mergeCell ref="X595:AA595"/>
    <mergeCell ref="AB595:AD595"/>
    <mergeCell ref="AE595:AG595"/>
    <mergeCell ref="Q594:R594"/>
    <mergeCell ref="S594:V594"/>
    <mergeCell ref="X594:AA594"/>
    <mergeCell ref="AB594:AD594"/>
    <mergeCell ref="B594:D594"/>
    <mergeCell ref="E594:I594"/>
    <mergeCell ref="J594:M594"/>
    <mergeCell ref="N594:P594"/>
    <mergeCell ref="AE592:AG592"/>
    <mergeCell ref="B593:D593"/>
    <mergeCell ref="E593:I593"/>
    <mergeCell ref="J593:M593"/>
    <mergeCell ref="N593:P593"/>
    <mergeCell ref="Q593:R593"/>
    <mergeCell ref="S593:V593"/>
    <mergeCell ref="X593:AA593"/>
    <mergeCell ref="AB593:AD593"/>
    <mergeCell ref="AE593:AG593"/>
    <mergeCell ref="Q592:R592"/>
    <mergeCell ref="S592:V592"/>
    <mergeCell ref="X592:AA592"/>
    <mergeCell ref="AB592:AD592"/>
    <mergeCell ref="B592:D592"/>
    <mergeCell ref="E592:I592"/>
    <mergeCell ref="J592:M592"/>
    <mergeCell ref="N592:P592"/>
    <mergeCell ref="AE590:AG590"/>
    <mergeCell ref="B591:D591"/>
    <mergeCell ref="E591:I591"/>
    <mergeCell ref="J591:M591"/>
    <mergeCell ref="N591:P591"/>
    <mergeCell ref="Q591:R591"/>
    <mergeCell ref="S591:V591"/>
    <mergeCell ref="X591:AA591"/>
    <mergeCell ref="AB591:AD591"/>
    <mergeCell ref="AE591:AG591"/>
    <mergeCell ref="Q590:R590"/>
    <mergeCell ref="S590:V590"/>
    <mergeCell ref="X590:AA590"/>
    <mergeCell ref="AB590:AD590"/>
    <mergeCell ref="B590:D590"/>
    <mergeCell ref="E590:I590"/>
    <mergeCell ref="J590:M590"/>
    <mergeCell ref="N590:P590"/>
    <mergeCell ref="AE588:AG588"/>
    <mergeCell ref="B589:D589"/>
    <mergeCell ref="E589:I589"/>
    <mergeCell ref="J589:M589"/>
    <mergeCell ref="N589:P589"/>
    <mergeCell ref="Q589:R589"/>
    <mergeCell ref="S589:V589"/>
    <mergeCell ref="X589:AA589"/>
    <mergeCell ref="AB589:AD589"/>
    <mergeCell ref="AE589:AG589"/>
    <mergeCell ref="Q588:R588"/>
    <mergeCell ref="S588:V588"/>
    <mergeCell ref="X588:AA588"/>
    <mergeCell ref="AB588:AD588"/>
    <mergeCell ref="B588:D588"/>
    <mergeCell ref="E588:I588"/>
    <mergeCell ref="J588:M588"/>
    <mergeCell ref="N588:P588"/>
    <mergeCell ref="AE586:AG586"/>
    <mergeCell ref="B587:D587"/>
    <mergeCell ref="E587:I587"/>
    <mergeCell ref="J587:M587"/>
    <mergeCell ref="N587:P587"/>
    <mergeCell ref="Q587:R587"/>
    <mergeCell ref="S587:V587"/>
    <mergeCell ref="X587:AA587"/>
    <mergeCell ref="AB587:AD587"/>
    <mergeCell ref="AE587:AG587"/>
    <mergeCell ref="Q586:R586"/>
    <mergeCell ref="S586:V586"/>
    <mergeCell ref="X586:AA586"/>
    <mergeCell ref="AB586:AD586"/>
    <mergeCell ref="B586:D586"/>
    <mergeCell ref="E586:I586"/>
    <mergeCell ref="J586:M586"/>
    <mergeCell ref="N586:P586"/>
    <mergeCell ref="AE584:AG584"/>
    <mergeCell ref="B585:D585"/>
    <mergeCell ref="E585:I585"/>
    <mergeCell ref="J585:M585"/>
    <mergeCell ref="N585:P585"/>
    <mergeCell ref="Q585:R585"/>
    <mergeCell ref="S585:V585"/>
    <mergeCell ref="X585:AA585"/>
    <mergeCell ref="AB585:AD585"/>
    <mergeCell ref="AE585:AG585"/>
    <mergeCell ref="Q584:R584"/>
    <mergeCell ref="S584:V584"/>
    <mergeCell ref="X584:AA584"/>
    <mergeCell ref="AB584:AD584"/>
    <mergeCell ref="B584:D584"/>
    <mergeCell ref="E584:I584"/>
    <mergeCell ref="J584:M584"/>
    <mergeCell ref="N584:P584"/>
    <mergeCell ref="AE582:AG582"/>
    <mergeCell ref="B583:D583"/>
    <mergeCell ref="E583:I583"/>
    <mergeCell ref="J583:M583"/>
    <mergeCell ref="N583:P583"/>
    <mergeCell ref="Q583:R583"/>
    <mergeCell ref="S583:V583"/>
    <mergeCell ref="X583:AA583"/>
    <mergeCell ref="AB583:AD583"/>
    <mergeCell ref="AE583:AG583"/>
    <mergeCell ref="Q582:R582"/>
    <mergeCell ref="S582:V582"/>
    <mergeCell ref="X582:AA582"/>
    <mergeCell ref="AB582:AD582"/>
    <mergeCell ref="B582:D582"/>
    <mergeCell ref="E582:I582"/>
    <mergeCell ref="J582:M582"/>
    <mergeCell ref="N582:P582"/>
    <mergeCell ref="AE580:AG580"/>
    <mergeCell ref="B581:D581"/>
    <mergeCell ref="E581:I581"/>
    <mergeCell ref="J581:M581"/>
    <mergeCell ref="N581:P581"/>
    <mergeCell ref="Q581:R581"/>
    <mergeCell ref="S581:V581"/>
    <mergeCell ref="X581:AA581"/>
    <mergeCell ref="AB581:AD581"/>
    <mergeCell ref="AE581:AG581"/>
    <mergeCell ref="Q580:R580"/>
    <mergeCell ref="S580:V580"/>
    <mergeCell ref="X580:AA580"/>
    <mergeCell ref="AB580:AD580"/>
    <mergeCell ref="B580:D580"/>
    <mergeCell ref="E580:I580"/>
    <mergeCell ref="J580:M580"/>
    <mergeCell ref="N580:P580"/>
    <mergeCell ref="AE578:AG578"/>
    <mergeCell ref="B579:D579"/>
    <mergeCell ref="E579:I579"/>
    <mergeCell ref="J579:M579"/>
    <mergeCell ref="N579:P579"/>
    <mergeCell ref="Q579:R579"/>
    <mergeCell ref="S579:V579"/>
    <mergeCell ref="X579:AA579"/>
    <mergeCell ref="AB579:AD579"/>
    <mergeCell ref="AE579:AG579"/>
    <mergeCell ref="Q578:R578"/>
    <mergeCell ref="S578:V578"/>
    <mergeCell ref="X578:AA578"/>
    <mergeCell ref="AB578:AD578"/>
    <mergeCell ref="B578:D578"/>
    <mergeCell ref="E578:I578"/>
    <mergeCell ref="J578:M578"/>
    <mergeCell ref="N578:P578"/>
    <mergeCell ref="AE576:AG576"/>
    <mergeCell ref="B577:D577"/>
    <mergeCell ref="E577:I577"/>
    <mergeCell ref="J577:M577"/>
    <mergeCell ref="N577:P577"/>
    <mergeCell ref="Q577:R577"/>
    <mergeCell ref="S577:V577"/>
    <mergeCell ref="X577:AA577"/>
    <mergeCell ref="AB577:AD577"/>
    <mergeCell ref="AE577:AG577"/>
    <mergeCell ref="Q576:R576"/>
    <mergeCell ref="S576:V576"/>
    <mergeCell ref="X576:AA576"/>
    <mergeCell ref="AB576:AD576"/>
    <mergeCell ref="B576:D576"/>
    <mergeCell ref="E576:I576"/>
    <mergeCell ref="J576:M576"/>
    <mergeCell ref="N576:P576"/>
    <mergeCell ref="AE574:AG574"/>
    <mergeCell ref="B575:D575"/>
    <mergeCell ref="E575:I575"/>
    <mergeCell ref="J575:M575"/>
    <mergeCell ref="N575:P575"/>
    <mergeCell ref="Q575:R575"/>
    <mergeCell ref="S575:V575"/>
    <mergeCell ref="X575:AA575"/>
    <mergeCell ref="AB575:AD575"/>
    <mergeCell ref="AE575:AG575"/>
    <mergeCell ref="Q574:R574"/>
    <mergeCell ref="S574:V574"/>
    <mergeCell ref="X574:AA574"/>
    <mergeCell ref="AB574:AD574"/>
    <mergeCell ref="B574:D574"/>
    <mergeCell ref="E574:I574"/>
    <mergeCell ref="J574:M574"/>
    <mergeCell ref="N574:P574"/>
    <mergeCell ref="AE572:AG572"/>
    <mergeCell ref="B573:D573"/>
    <mergeCell ref="E573:I573"/>
    <mergeCell ref="J573:M573"/>
    <mergeCell ref="N573:P573"/>
    <mergeCell ref="Q573:R573"/>
    <mergeCell ref="S573:V573"/>
    <mergeCell ref="X573:AA573"/>
    <mergeCell ref="AB573:AD573"/>
    <mergeCell ref="AE573:AG573"/>
    <mergeCell ref="Q572:R572"/>
    <mergeCell ref="S572:V572"/>
    <mergeCell ref="X572:AA572"/>
    <mergeCell ref="AB572:AD572"/>
    <mergeCell ref="B572:D572"/>
    <mergeCell ref="E572:I572"/>
    <mergeCell ref="J572:M572"/>
    <mergeCell ref="N572:P572"/>
    <mergeCell ref="AE570:AG570"/>
    <mergeCell ref="B571:D571"/>
    <mergeCell ref="E571:I571"/>
    <mergeCell ref="J571:M571"/>
    <mergeCell ref="N571:P571"/>
    <mergeCell ref="Q571:R571"/>
    <mergeCell ref="S571:V571"/>
    <mergeCell ref="X571:AA571"/>
    <mergeCell ref="AB571:AD571"/>
    <mergeCell ref="AE571:AG571"/>
    <mergeCell ref="Q570:R570"/>
    <mergeCell ref="S570:V570"/>
    <mergeCell ref="X570:AA570"/>
    <mergeCell ref="AB570:AD570"/>
    <mergeCell ref="B570:D570"/>
    <mergeCell ref="E570:I570"/>
    <mergeCell ref="J570:M570"/>
    <mergeCell ref="N570:P570"/>
    <mergeCell ref="AE568:AG568"/>
    <mergeCell ref="B569:D569"/>
    <mergeCell ref="E569:I569"/>
    <mergeCell ref="J569:M569"/>
    <mergeCell ref="N569:P569"/>
    <mergeCell ref="Q569:R569"/>
    <mergeCell ref="S569:V569"/>
    <mergeCell ref="X569:AA569"/>
    <mergeCell ref="AB569:AD569"/>
    <mergeCell ref="AE569:AG569"/>
    <mergeCell ref="Q568:R568"/>
    <mergeCell ref="S568:V568"/>
    <mergeCell ref="X568:AA568"/>
    <mergeCell ref="AB568:AD568"/>
    <mergeCell ref="B568:D568"/>
    <mergeCell ref="E568:I568"/>
    <mergeCell ref="J568:M568"/>
    <mergeCell ref="N568:P568"/>
    <mergeCell ref="AE566:AG566"/>
    <mergeCell ref="B567:D567"/>
    <mergeCell ref="E567:I567"/>
    <mergeCell ref="J567:M567"/>
    <mergeCell ref="N567:P567"/>
    <mergeCell ref="Q567:R567"/>
    <mergeCell ref="S567:V567"/>
    <mergeCell ref="X567:AA567"/>
    <mergeCell ref="AB567:AD567"/>
    <mergeCell ref="AE567:AG567"/>
    <mergeCell ref="Q566:R566"/>
    <mergeCell ref="S566:V566"/>
    <mergeCell ref="X566:AA566"/>
    <mergeCell ref="AB566:AD566"/>
    <mergeCell ref="B566:D566"/>
    <mergeCell ref="E566:I566"/>
    <mergeCell ref="J566:M566"/>
    <mergeCell ref="N566:P566"/>
    <mergeCell ref="AE564:AG564"/>
    <mergeCell ref="B565:D565"/>
    <mergeCell ref="E565:I565"/>
    <mergeCell ref="J565:M565"/>
    <mergeCell ref="N565:P565"/>
    <mergeCell ref="Q565:R565"/>
    <mergeCell ref="S565:V565"/>
    <mergeCell ref="X565:AA565"/>
    <mergeCell ref="AB565:AD565"/>
    <mergeCell ref="AE565:AG565"/>
    <mergeCell ref="Q564:R564"/>
    <mergeCell ref="S564:V564"/>
    <mergeCell ref="X564:AA564"/>
    <mergeCell ref="AB564:AD564"/>
    <mergeCell ref="B564:D564"/>
    <mergeCell ref="E564:I564"/>
    <mergeCell ref="J564:M564"/>
    <mergeCell ref="N564:P564"/>
    <mergeCell ref="AE562:AG562"/>
    <mergeCell ref="B563:D563"/>
    <mergeCell ref="E563:I563"/>
    <mergeCell ref="J563:M563"/>
    <mergeCell ref="N563:P563"/>
    <mergeCell ref="Q563:R563"/>
    <mergeCell ref="S563:V563"/>
    <mergeCell ref="X563:AA563"/>
    <mergeCell ref="AB563:AD563"/>
    <mergeCell ref="AE563:AG563"/>
    <mergeCell ref="Q562:R562"/>
    <mergeCell ref="S562:V562"/>
    <mergeCell ref="X562:AA562"/>
    <mergeCell ref="AB562:AD562"/>
    <mergeCell ref="B562:D562"/>
    <mergeCell ref="E562:I562"/>
    <mergeCell ref="J562:M562"/>
    <mergeCell ref="N562:P562"/>
    <mergeCell ref="AE560:AG560"/>
    <mergeCell ref="B561:D561"/>
    <mergeCell ref="E561:I561"/>
    <mergeCell ref="J561:M561"/>
    <mergeCell ref="N561:P561"/>
    <mergeCell ref="Q561:R561"/>
    <mergeCell ref="S561:V561"/>
    <mergeCell ref="X561:AA561"/>
    <mergeCell ref="AB561:AD561"/>
    <mergeCell ref="AE561:AG561"/>
    <mergeCell ref="Q560:R560"/>
    <mergeCell ref="S560:V560"/>
    <mergeCell ref="X560:AA560"/>
    <mergeCell ref="AB560:AD560"/>
    <mergeCell ref="B560:D560"/>
    <mergeCell ref="E560:I560"/>
    <mergeCell ref="J560:M560"/>
    <mergeCell ref="N560:P560"/>
    <mergeCell ref="AE558:AG558"/>
    <mergeCell ref="B559:D559"/>
    <mergeCell ref="E559:I559"/>
    <mergeCell ref="J559:M559"/>
    <mergeCell ref="N559:P559"/>
    <mergeCell ref="Q559:R559"/>
    <mergeCell ref="S559:V559"/>
    <mergeCell ref="X559:AA559"/>
    <mergeCell ref="AB559:AD559"/>
    <mergeCell ref="AE559:AG559"/>
    <mergeCell ref="Q558:R558"/>
    <mergeCell ref="S558:V558"/>
    <mergeCell ref="X558:AA558"/>
    <mergeCell ref="AB558:AD558"/>
    <mergeCell ref="B558:D558"/>
    <mergeCell ref="E558:I558"/>
    <mergeCell ref="J558:M558"/>
    <mergeCell ref="N558:P558"/>
    <mergeCell ref="AE556:AG556"/>
    <mergeCell ref="B557:D557"/>
    <mergeCell ref="E557:I557"/>
    <mergeCell ref="J557:M557"/>
    <mergeCell ref="N557:P557"/>
    <mergeCell ref="Q557:R557"/>
    <mergeCell ref="S557:V557"/>
    <mergeCell ref="X557:AA557"/>
    <mergeCell ref="AB557:AD557"/>
    <mergeCell ref="AE557:AG557"/>
    <mergeCell ref="Q556:R556"/>
    <mergeCell ref="S556:V556"/>
    <mergeCell ref="X556:AA556"/>
    <mergeCell ref="AB556:AD556"/>
    <mergeCell ref="B556:D556"/>
    <mergeCell ref="E556:I556"/>
    <mergeCell ref="J556:M556"/>
    <mergeCell ref="N556:P556"/>
    <mergeCell ref="AE554:AG554"/>
    <mergeCell ref="B555:D555"/>
    <mergeCell ref="E555:I555"/>
    <mergeCell ref="J555:M555"/>
    <mergeCell ref="N555:P555"/>
    <mergeCell ref="Q555:R555"/>
    <mergeCell ref="S555:V555"/>
    <mergeCell ref="X555:AA555"/>
    <mergeCell ref="AB555:AD555"/>
    <mergeCell ref="AE555:AG555"/>
    <mergeCell ref="Q554:R554"/>
    <mergeCell ref="S554:V554"/>
    <mergeCell ref="X554:AA554"/>
    <mergeCell ref="AB554:AD554"/>
    <mergeCell ref="B554:D554"/>
    <mergeCell ref="E554:I554"/>
    <mergeCell ref="J554:M554"/>
    <mergeCell ref="N554:P554"/>
    <mergeCell ref="AE552:AG552"/>
    <mergeCell ref="B553:D553"/>
    <mergeCell ref="E553:I553"/>
    <mergeCell ref="J553:M553"/>
    <mergeCell ref="N553:P553"/>
    <mergeCell ref="Q553:R553"/>
    <mergeCell ref="S553:V553"/>
    <mergeCell ref="X553:AA553"/>
    <mergeCell ref="AB553:AD553"/>
    <mergeCell ref="AE553:AG553"/>
    <mergeCell ref="Q552:R552"/>
    <mergeCell ref="S552:V552"/>
    <mergeCell ref="X552:AA552"/>
    <mergeCell ref="AB552:AD552"/>
    <mergeCell ref="B552:D552"/>
    <mergeCell ref="E552:I552"/>
    <mergeCell ref="J552:M552"/>
    <mergeCell ref="N552:P552"/>
    <mergeCell ref="AE550:AG550"/>
    <mergeCell ref="B551:D551"/>
    <mergeCell ref="E551:I551"/>
    <mergeCell ref="J551:M551"/>
    <mergeCell ref="N551:P551"/>
    <mergeCell ref="Q551:R551"/>
    <mergeCell ref="S551:V551"/>
    <mergeCell ref="X551:AA551"/>
    <mergeCell ref="AB551:AD551"/>
    <mergeCell ref="AE551:AG551"/>
    <mergeCell ref="Q550:R550"/>
    <mergeCell ref="S550:V550"/>
    <mergeCell ref="X550:AA550"/>
    <mergeCell ref="AB550:AD550"/>
    <mergeCell ref="B550:D550"/>
    <mergeCell ref="E550:I550"/>
    <mergeCell ref="J550:M550"/>
    <mergeCell ref="N550:P550"/>
    <mergeCell ref="AE548:AG548"/>
    <mergeCell ref="B549:D549"/>
    <mergeCell ref="E549:I549"/>
    <mergeCell ref="J549:M549"/>
    <mergeCell ref="N549:P549"/>
    <mergeCell ref="Q549:R549"/>
    <mergeCell ref="S549:V549"/>
    <mergeCell ref="X549:AA549"/>
    <mergeCell ref="AB549:AD549"/>
    <mergeCell ref="AE549:AG549"/>
    <mergeCell ref="Q548:R548"/>
    <mergeCell ref="S548:V548"/>
    <mergeCell ref="X548:AA548"/>
    <mergeCell ref="AB548:AD548"/>
    <mergeCell ref="B548:D548"/>
    <mergeCell ref="E548:I548"/>
    <mergeCell ref="J548:M548"/>
    <mergeCell ref="N548:P548"/>
    <mergeCell ref="AE546:AG546"/>
    <mergeCell ref="B547:D547"/>
    <mergeCell ref="E547:I547"/>
    <mergeCell ref="J547:M547"/>
    <mergeCell ref="N547:P547"/>
    <mergeCell ref="Q547:R547"/>
    <mergeCell ref="S547:V547"/>
    <mergeCell ref="X547:AA547"/>
    <mergeCell ref="AB547:AD547"/>
    <mergeCell ref="AE547:AG547"/>
    <mergeCell ref="Q546:R546"/>
    <mergeCell ref="S546:V546"/>
    <mergeCell ref="X546:AA546"/>
    <mergeCell ref="AB546:AD546"/>
    <mergeCell ref="B546:D546"/>
    <mergeCell ref="E546:I546"/>
    <mergeCell ref="J546:M546"/>
    <mergeCell ref="N546:P546"/>
    <mergeCell ref="AE544:AG544"/>
    <mergeCell ref="B545:D545"/>
    <mergeCell ref="E545:I545"/>
    <mergeCell ref="J545:M545"/>
    <mergeCell ref="N545:P545"/>
    <mergeCell ref="Q545:R545"/>
    <mergeCell ref="S545:V545"/>
    <mergeCell ref="X545:AA545"/>
    <mergeCell ref="AB545:AD545"/>
    <mergeCell ref="AE545:AG545"/>
    <mergeCell ref="Q544:R544"/>
    <mergeCell ref="S544:V544"/>
    <mergeCell ref="X544:AA544"/>
    <mergeCell ref="AB544:AD544"/>
    <mergeCell ref="B544:D544"/>
    <mergeCell ref="E544:I544"/>
    <mergeCell ref="J544:M544"/>
    <mergeCell ref="N544:P544"/>
    <mergeCell ref="AE542:AG542"/>
    <mergeCell ref="B543:D543"/>
    <mergeCell ref="E543:I543"/>
    <mergeCell ref="J543:M543"/>
    <mergeCell ref="N543:P543"/>
    <mergeCell ref="Q543:R543"/>
    <mergeCell ref="S543:V543"/>
    <mergeCell ref="X543:AA543"/>
    <mergeCell ref="AB543:AD543"/>
    <mergeCell ref="AE543:AG543"/>
    <mergeCell ref="Q542:R542"/>
    <mergeCell ref="S542:V542"/>
    <mergeCell ref="X542:AA542"/>
    <mergeCell ref="AB542:AD542"/>
    <mergeCell ref="B542:D542"/>
    <mergeCell ref="E542:I542"/>
    <mergeCell ref="J542:M542"/>
    <mergeCell ref="N542:P542"/>
    <mergeCell ref="AE540:AG540"/>
    <mergeCell ref="B541:D541"/>
    <mergeCell ref="E541:I541"/>
    <mergeCell ref="J541:M541"/>
    <mergeCell ref="N541:P541"/>
    <mergeCell ref="Q541:R541"/>
    <mergeCell ref="S541:V541"/>
    <mergeCell ref="X541:AA541"/>
    <mergeCell ref="AB541:AD541"/>
    <mergeCell ref="AE541:AG541"/>
    <mergeCell ref="Q540:R540"/>
    <mergeCell ref="S540:V540"/>
    <mergeCell ref="X540:AA540"/>
    <mergeCell ref="AB540:AD540"/>
    <mergeCell ref="B540:D540"/>
    <mergeCell ref="E540:I540"/>
    <mergeCell ref="J540:M540"/>
    <mergeCell ref="N540:P540"/>
    <mergeCell ref="AE538:AG538"/>
    <mergeCell ref="B539:D539"/>
    <mergeCell ref="E539:I539"/>
    <mergeCell ref="J539:M539"/>
    <mergeCell ref="N539:P539"/>
    <mergeCell ref="Q539:R539"/>
    <mergeCell ref="S539:V539"/>
    <mergeCell ref="X539:AA539"/>
    <mergeCell ref="AB539:AD539"/>
    <mergeCell ref="AE539:AG539"/>
    <mergeCell ref="Q538:R538"/>
    <mergeCell ref="S538:V538"/>
    <mergeCell ref="X538:AA538"/>
    <mergeCell ref="AB538:AD538"/>
    <mergeCell ref="B538:D538"/>
    <mergeCell ref="E538:I538"/>
    <mergeCell ref="J538:M538"/>
    <mergeCell ref="N538:P538"/>
    <mergeCell ref="AE536:AG536"/>
    <mergeCell ref="B537:D537"/>
    <mergeCell ref="E537:I537"/>
    <mergeCell ref="J537:M537"/>
    <mergeCell ref="N537:P537"/>
    <mergeCell ref="Q537:R537"/>
    <mergeCell ref="S537:V537"/>
    <mergeCell ref="X537:AA537"/>
    <mergeCell ref="AB537:AD537"/>
    <mergeCell ref="AE537:AG537"/>
    <mergeCell ref="Q536:R536"/>
    <mergeCell ref="S536:V536"/>
    <mergeCell ref="X536:AA536"/>
    <mergeCell ref="AB536:AD536"/>
    <mergeCell ref="B536:D536"/>
    <mergeCell ref="E536:I536"/>
    <mergeCell ref="J536:M536"/>
    <mergeCell ref="N536:P536"/>
    <mergeCell ref="AE534:AG534"/>
    <mergeCell ref="B535:D535"/>
    <mergeCell ref="E535:I535"/>
    <mergeCell ref="J535:M535"/>
    <mergeCell ref="N535:P535"/>
    <mergeCell ref="Q535:R535"/>
    <mergeCell ref="S535:V535"/>
    <mergeCell ref="X535:AA535"/>
    <mergeCell ref="AB535:AD535"/>
    <mergeCell ref="AE535:AG535"/>
    <mergeCell ref="Q534:R534"/>
    <mergeCell ref="S534:V534"/>
    <mergeCell ref="X534:AA534"/>
    <mergeCell ref="AB534:AD534"/>
    <mergeCell ref="B534:D534"/>
    <mergeCell ref="E534:I534"/>
    <mergeCell ref="J534:M534"/>
    <mergeCell ref="N534:P534"/>
    <mergeCell ref="AE532:AG532"/>
    <mergeCell ref="B533:D533"/>
    <mergeCell ref="E533:I533"/>
    <mergeCell ref="J533:M533"/>
    <mergeCell ref="N533:P533"/>
    <mergeCell ref="Q533:R533"/>
    <mergeCell ref="S533:V533"/>
    <mergeCell ref="X533:AA533"/>
    <mergeCell ref="AB533:AD533"/>
    <mergeCell ref="AE533:AG533"/>
    <mergeCell ref="Q532:R532"/>
    <mergeCell ref="S532:V532"/>
    <mergeCell ref="X532:AA532"/>
    <mergeCell ref="AB532:AD532"/>
    <mergeCell ref="B532:D532"/>
    <mergeCell ref="E532:I532"/>
    <mergeCell ref="J532:M532"/>
    <mergeCell ref="N532:P532"/>
    <mergeCell ref="AE530:AG530"/>
    <mergeCell ref="B531:D531"/>
    <mergeCell ref="E531:I531"/>
    <mergeCell ref="J531:M531"/>
    <mergeCell ref="N531:P531"/>
    <mergeCell ref="Q531:R531"/>
    <mergeCell ref="S531:V531"/>
    <mergeCell ref="X531:AA531"/>
    <mergeCell ref="AB531:AD531"/>
    <mergeCell ref="AE531:AG531"/>
    <mergeCell ref="Q530:R530"/>
    <mergeCell ref="S530:V530"/>
    <mergeCell ref="X530:AA530"/>
    <mergeCell ref="AB530:AD530"/>
    <mergeCell ref="B530:D530"/>
    <mergeCell ref="E530:I530"/>
    <mergeCell ref="J530:M530"/>
    <mergeCell ref="N530:P530"/>
    <mergeCell ref="AE528:AG528"/>
    <mergeCell ref="B529:D529"/>
    <mergeCell ref="E529:I529"/>
    <mergeCell ref="J529:M529"/>
    <mergeCell ref="N529:P529"/>
    <mergeCell ref="Q529:R529"/>
    <mergeCell ref="S529:V529"/>
    <mergeCell ref="X529:AA529"/>
    <mergeCell ref="AB529:AD529"/>
    <mergeCell ref="AE529:AG529"/>
    <mergeCell ref="Q528:R528"/>
    <mergeCell ref="S528:V528"/>
    <mergeCell ref="X528:AA528"/>
    <mergeCell ref="AB528:AD528"/>
    <mergeCell ref="B528:D528"/>
    <mergeCell ref="E528:I528"/>
    <mergeCell ref="J528:M528"/>
    <mergeCell ref="N528:P528"/>
    <mergeCell ref="AE526:AG526"/>
    <mergeCell ref="B527:D527"/>
    <mergeCell ref="E527:I527"/>
    <mergeCell ref="J527:M527"/>
    <mergeCell ref="N527:P527"/>
    <mergeCell ref="Q527:R527"/>
    <mergeCell ref="S527:V527"/>
    <mergeCell ref="X527:AA527"/>
    <mergeCell ref="AB527:AD527"/>
    <mergeCell ref="AE527:AG527"/>
    <mergeCell ref="Q526:R526"/>
    <mergeCell ref="S526:V526"/>
    <mergeCell ref="X526:AA526"/>
    <mergeCell ref="AB526:AD526"/>
    <mergeCell ref="B526:D526"/>
    <mergeCell ref="E526:I526"/>
    <mergeCell ref="J526:M526"/>
    <mergeCell ref="N526:P526"/>
    <mergeCell ref="AE524:AG524"/>
    <mergeCell ref="B525:D525"/>
    <mergeCell ref="E525:I525"/>
    <mergeCell ref="J525:M525"/>
    <mergeCell ref="N525:P525"/>
    <mergeCell ref="Q525:R525"/>
    <mergeCell ref="S525:V525"/>
    <mergeCell ref="X525:AA525"/>
    <mergeCell ref="AB525:AD525"/>
    <mergeCell ref="AE525:AG525"/>
    <mergeCell ref="Q524:R524"/>
    <mergeCell ref="S524:V524"/>
    <mergeCell ref="X524:AA524"/>
    <mergeCell ref="AB524:AD524"/>
    <mergeCell ref="B524:D524"/>
    <mergeCell ref="E524:I524"/>
    <mergeCell ref="J524:M524"/>
    <mergeCell ref="N524:P524"/>
    <mergeCell ref="AE522:AG522"/>
    <mergeCell ref="B523:D523"/>
    <mergeCell ref="E523:I523"/>
    <mergeCell ref="J523:M523"/>
    <mergeCell ref="N523:P523"/>
    <mergeCell ref="Q523:R523"/>
    <mergeCell ref="S523:V523"/>
    <mergeCell ref="X523:AA523"/>
    <mergeCell ref="AB523:AD523"/>
    <mergeCell ref="AE523:AG523"/>
    <mergeCell ref="Q522:R522"/>
    <mergeCell ref="S522:V522"/>
    <mergeCell ref="X522:AA522"/>
    <mergeCell ref="AB522:AD522"/>
    <mergeCell ref="B522:D522"/>
    <mergeCell ref="E522:I522"/>
    <mergeCell ref="J522:M522"/>
    <mergeCell ref="N522:P522"/>
    <mergeCell ref="AE520:AG520"/>
    <mergeCell ref="B521:D521"/>
    <mergeCell ref="E521:I521"/>
    <mergeCell ref="J521:M521"/>
    <mergeCell ref="N521:P521"/>
    <mergeCell ref="Q521:R521"/>
    <mergeCell ref="S521:V521"/>
    <mergeCell ref="X521:AA521"/>
    <mergeCell ref="AB521:AD521"/>
    <mergeCell ref="AE521:AG521"/>
    <mergeCell ref="Q520:R520"/>
    <mergeCell ref="S520:V520"/>
    <mergeCell ref="X520:AA520"/>
    <mergeCell ref="AB520:AD520"/>
    <mergeCell ref="B520:D520"/>
    <mergeCell ref="E520:I520"/>
    <mergeCell ref="J520:M520"/>
    <mergeCell ref="N520:P520"/>
    <mergeCell ref="AE518:AG518"/>
    <mergeCell ref="B519:D519"/>
    <mergeCell ref="E519:I519"/>
    <mergeCell ref="J519:M519"/>
    <mergeCell ref="N519:P519"/>
    <mergeCell ref="Q519:R519"/>
    <mergeCell ref="S519:V519"/>
    <mergeCell ref="X519:AA519"/>
    <mergeCell ref="AB519:AD519"/>
    <mergeCell ref="AE519:AG519"/>
    <mergeCell ref="Q518:R518"/>
    <mergeCell ref="S518:V518"/>
    <mergeCell ref="X518:AA518"/>
    <mergeCell ref="AB518:AD518"/>
    <mergeCell ref="B518:D518"/>
    <mergeCell ref="E518:I518"/>
    <mergeCell ref="J518:M518"/>
    <mergeCell ref="N518:P518"/>
    <mergeCell ref="AE516:AG516"/>
    <mergeCell ref="B517:D517"/>
    <mergeCell ref="E517:I517"/>
    <mergeCell ref="J517:M517"/>
    <mergeCell ref="N517:P517"/>
    <mergeCell ref="Q517:R517"/>
    <mergeCell ref="S517:V517"/>
    <mergeCell ref="X517:AA517"/>
    <mergeCell ref="AB517:AD517"/>
    <mergeCell ref="AE517:AG517"/>
    <mergeCell ref="Q516:R516"/>
    <mergeCell ref="S516:V516"/>
    <mergeCell ref="X516:AA516"/>
    <mergeCell ref="AB516:AD516"/>
    <mergeCell ref="B516:D516"/>
    <mergeCell ref="E516:I516"/>
    <mergeCell ref="J516:M516"/>
    <mergeCell ref="N516:P516"/>
    <mergeCell ref="AE514:AG514"/>
    <mergeCell ref="B515:D515"/>
    <mergeCell ref="E515:I515"/>
    <mergeCell ref="J515:M515"/>
    <mergeCell ref="N515:P515"/>
    <mergeCell ref="Q515:R515"/>
    <mergeCell ref="S515:V515"/>
    <mergeCell ref="X515:AA515"/>
    <mergeCell ref="AB515:AD515"/>
    <mergeCell ref="AE515:AG515"/>
    <mergeCell ref="Q514:R514"/>
    <mergeCell ref="S514:V514"/>
    <mergeCell ref="X514:AA514"/>
    <mergeCell ref="AB514:AD514"/>
    <mergeCell ref="B514:D514"/>
    <mergeCell ref="E514:I514"/>
    <mergeCell ref="J514:M514"/>
    <mergeCell ref="N514:P514"/>
    <mergeCell ref="AE512:AG512"/>
    <mergeCell ref="B513:D513"/>
    <mergeCell ref="E513:I513"/>
    <mergeCell ref="J513:M513"/>
    <mergeCell ref="N513:P513"/>
    <mergeCell ref="Q513:R513"/>
    <mergeCell ref="S513:V513"/>
    <mergeCell ref="X513:AA513"/>
    <mergeCell ref="AB513:AD513"/>
    <mergeCell ref="AE513:AG513"/>
    <mergeCell ref="Q512:R512"/>
    <mergeCell ref="S512:V512"/>
    <mergeCell ref="X512:AA512"/>
    <mergeCell ref="AB512:AD512"/>
    <mergeCell ref="B512:D512"/>
    <mergeCell ref="E512:I512"/>
    <mergeCell ref="J512:M512"/>
    <mergeCell ref="N512:P512"/>
    <mergeCell ref="AE510:AG510"/>
    <mergeCell ref="B511:D511"/>
    <mergeCell ref="E511:I511"/>
    <mergeCell ref="J511:M511"/>
    <mergeCell ref="N511:P511"/>
    <mergeCell ref="Q511:R511"/>
    <mergeCell ref="S511:V511"/>
    <mergeCell ref="X511:AA511"/>
    <mergeCell ref="AB511:AD511"/>
    <mergeCell ref="AE511:AG511"/>
    <mergeCell ref="Q510:R510"/>
    <mergeCell ref="S510:V510"/>
    <mergeCell ref="X510:AA510"/>
    <mergeCell ref="AB510:AD510"/>
    <mergeCell ref="B510:D510"/>
    <mergeCell ref="E510:I510"/>
    <mergeCell ref="J510:M510"/>
    <mergeCell ref="N510:P510"/>
    <mergeCell ref="AE508:AG508"/>
    <mergeCell ref="B509:D509"/>
    <mergeCell ref="E509:I509"/>
    <mergeCell ref="J509:M509"/>
    <mergeCell ref="N509:P509"/>
    <mergeCell ref="Q509:R509"/>
    <mergeCell ref="S509:V509"/>
    <mergeCell ref="X509:AA509"/>
    <mergeCell ref="AB509:AD509"/>
    <mergeCell ref="AE509:AG509"/>
    <mergeCell ref="Q508:R508"/>
    <mergeCell ref="S508:V508"/>
    <mergeCell ref="X508:AA508"/>
    <mergeCell ref="AB508:AD508"/>
    <mergeCell ref="B508:D508"/>
    <mergeCell ref="E508:I508"/>
    <mergeCell ref="J508:M508"/>
    <mergeCell ref="N508:P508"/>
    <mergeCell ref="AE506:AG506"/>
    <mergeCell ref="B507:D507"/>
    <mergeCell ref="E507:I507"/>
    <mergeCell ref="J507:M507"/>
    <mergeCell ref="N507:P507"/>
    <mergeCell ref="Q507:R507"/>
    <mergeCell ref="S507:V507"/>
    <mergeCell ref="X507:AA507"/>
    <mergeCell ref="AB507:AD507"/>
    <mergeCell ref="AE507:AG507"/>
    <mergeCell ref="Q506:R506"/>
    <mergeCell ref="S506:V506"/>
    <mergeCell ref="X506:AA506"/>
    <mergeCell ref="AB506:AD506"/>
    <mergeCell ref="B506:D506"/>
    <mergeCell ref="E506:I506"/>
    <mergeCell ref="J506:M506"/>
    <mergeCell ref="N506:P506"/>
    <mergeCell ref="AE504:AG504"/>
    <mergeCell ref="B505:D505"/>
    <mergeCell ref="E505:I505"/>
    <mergeCell ref="J505:M505"/>
    <mergeCell ref="N505:P505"/>
    <mergeCell ref="Q505:R505"/>
    <mergeCell ref="S505:V505"/>
    <mergeCell ref="X505:AA505"/>
    <mergeCell ref="AB505:AD505"/>
    <mergeCell ref="AE505:AG505"/>
    <mergeCell ref="Q504:R504"/>
    <mergeCell ref="S504:V504"/>
    <mergeCell ref="X504:AA504"/>
    <mergeCell ref="AB504:AD504"/>
    <mergeCell ref="B504:D504"/>
    <mergeCell ref="E504:I504"/>
    <mergeCell ref="J504:M504"/>
    <mergeCell ref="N504:P504"/>
    <mergeCell ref="AE502:AG502"/>
    <mergeCell ref="B503:D503"/>
    <mergeCell ref="E503:I503"/>
    <mergeCell ref="J503:M503"/>
    <mergeCell ref="N503:P503"/>
    <mergeCell ref="Q503:R503"/>
    <mergeCell ref="S503:V503"/>
    <mergeCell ref="X503:AA503"/>
    <mergeCell ref="AB503:AD503"/>
    <mergeCell ref="AE503:AG503"/>
    <mergeCell ref="Q502:R502"/>
    <mergeCell ref="S502:V502"/>
    <mergeCell ref="X502:AA502"/>
    <mergeCell ref="AB502:AD502"/>
    <mergeCell ref="B502:D502"/>
    <mergeCell ref="E502:I502"/>
    <mergeCell ref="J502:M502"/>
    <mergeCell ref="N502:P502"/>
    <mergeCell ref="AE500:AG500"/>
    <mergeCell ref="B501:D501"/>
    <mergeCell ref="E501:I501"/>
    <mergeCell ref="J501:M501"/>
    <mergeCell ref="N501:P501"/>
    <mergeCell ref="Q501:R501"/>
    <mergeCell ref="S501:V501"/>
    <mergeCell ref="X501:AA501"/>
    <mergeCell ref="AB501:AD501"/>
    <mergeCell ref="AE501:AG501"/>
    <mergeCell ref="Q500:R500"/>
    <mergeCell ref="S500:V500"/>
    <mergeCell ref="X500:AA500"/>
    <mergeCell ref="AB500:AD500"/>
    <mergeCell ref="B500:D500"/>
    <mergeCell ref="E500:I500"/>
    <mergeCell ref="J500:M500"/>
    <mergeCell ref="N500:P500"/>
    <mergeCell ref="AE498:AG498"/>
    <mergeCell ref="B499:D499"/>
    <mergeCell ref="E499:I499"/>
    <mergeCell ref="J499:M499"/>
    <mergeCell ref="N499:P499"/>
    <mergeCell ref="Q499:R499"/>
    <mergeCell ref="S499:V499"/>
    <mergeCell ref="X499:AA499"/>
    <mergeCell ref="AB499:AD499"/>
    <mergeCell ref="AE499:AG499"/>
    <mergeCell ref="Q498:R498"/>
    <mergeCell ref="S498:V498"/>
    <mergeCell ref="X498:AA498"/>
    <mergeCell ref="AB498:AD498"/>
    <mergeCell ref="B498:D498"/>
    <mergeCell ref="E498:I498"/>
    <mergeCell ref="J498:M498"/>
    <mergeCell ref="N498:P498"/>
    <mergeCell ref="AE496:AG496"/>
    <mergeCell ref="B497:D497"/>
    <mergeCell ref="E497:I497"/>
    <mergeCell ref="J497:M497"/>
    <mergeCell ref="N497:P497"/>
    <mergeCell ref="Q497:R497"/>
    <mergeCell ref="S497:V497"/>
    <mergeCell ref="X497:AA497"/>
    <mergeCell ref="AB497:AD497"/>
    <mergeCell ref="AE497:AG497"/>
    <mergeCell ref="Q496:R496"/>
    <mergeCell ref="S496:V496"/>
    <mergeCell ref="X496:AA496"/>
    <mergeCell ref="AB496:AD496"/>
    <mergeCell ref="B496:D496"/>
    <mergeCell ref="E496:I496"/>
    <mergeCell ref="J496:M496"/>
    <mergeCell ref="N496:P496"/>
    <mergeCell ref="AE494:AG494"/>
    <mergeCell ref="B495:D495"/>
    <mergeCell ref="E495:I495"/>
    <mergeCell ref="J495:M495"/>
    <mergeCell ref="N495:P495"/>
    <mergeCell ref="Q495:R495"/>
    <mergeCell ref="S495:V495"/>
    <mergeCell ref="X495:AA495"/>
    <mergeCell ref="AB495:AD495"/>
    <mergeCell ref="AE495:AG495"/>
    <mergeCell ref="Q494:R494"/>
    <mergeCell ref="S494:V494"/>
    <mergeCell ref="X494:AA494"/>
    <mergeCell ref="AB494:AD494"/>
    <mergeCell ref="B494:D494"/>
    <mergeCell ref="E494:I494"/>
    <mergeCell ref="J494:M494"/>
    <mergeCell ref="N494:P494"/>
    <mergeCell ref="AE492:AG492"/>
    <mergeCell ref="B493:D493"/>
    <mergeCell ref="E493:I493"/>
    <mergeCell ref="J493:M493"/>
    <mergeCell ref="N493:P493"/>
    <mergeCell ref="Q493:R493"/>
    <mergeCell ref="S493:V493"/>
    <mergeCell ref="X493:AA493"/>
    <mergeCell ref="AB493:AD493"/>
    <mergeCell ref="AE493:AG493"/>
    <mergeCell ref="Q492:R492"/>
    <mergeCell ref="S492:V492"/>
    <mergeCell ref="X492:AA492"/>
    <mergeCell ref="AB492:AD492"/>
    <mergeCell ref="B492:D492"/>
    <mergeCell ref="E492:I492"/>
    <mergeCell ref="J492:M492"/>
    <mergeCell ref="N492:P492"/>
    <mergeCell ref="AE490:AG490"/>
    <mergeCell ref="B491:D491"/>
    <mergeCell ref="E491:I491"/>
    <mergeCell ref="J491:M491"/>
    <mergeCell ref="N491:P491"/>
    <mergeCell ref="Q491:R491"/>
    <mergeCell ref="S491:V491"/>
    <mergeCell ref="X491:AA491"/>
    <mergeCell ref="AB491:AD491"/>
    <mergeCell ref="AE491:AG491"/>
    <mergeCell ref="Q490:R490"/>
    <mergeCell ref="S490:V490"/>
    <mergeCell ref="X490:AA490"/>
    <mergeCell ref="AB490:AD490"/>
    <mergeCell ref="B490:D490"/>
    <mergeCell ref="E490:I490"/>
    <mergeCell ref="J490:M490"/>
    <mergeCell ref="N490:P490"/>
    <mergeCell ref="AE488:AG488"/>
    <mergeCell ref="B489:D489"/>
    <mergeCell ref="E489:I489"/>
    <mergeCell ref="J489:M489"/>
    <mergeCell ref="N489:P489"/>
    <mergeCell ref="Q489:R489"/>
    <mergeCell ref="S489:V489"/>
    <mergeCell ref="X489:AA489"/>
    <mergeCell ref="AB489:AD489"/>
    <mergeCell ref="AE489:AG489"/>
    <mergeCell ref="Q488:R488"/>
    <mergeCell ref="S488:V488"/>
    <mergeCell ref="X488:AA488"/>
    <mergeCell ref="AB488:AD488"/>
    <mergeCell ref="B488:D488"/>
    <mergeCell ref="E488:I488"/>
    <mergeCell ref="J488:M488"/>
    <mergeCell ref="N488:P488"/>
    <mergeCell ref="AE486:AG486"/>
    <mergeCell ref="B487:D487"/>
    <mergeCell ref="E487:I487"/>
    <mergeCell ref="J487:M487"/>
    <mergeCell ref="N487:P487"/>
    <mergeCell ref="Q487:R487"/>
    <mergeCell ref="S487:V487"/>
    <mergeCell ref="X487:AA487"/>
    <mergeCell ref="AB487:AD487"/>
    <mergeCell ref="AE487:AG487"/>
    <mergeCell ref="Q486:R486"/>
    <mergeCell ref="S486:V486"/>
    <mergeCell ref="X486:AA486"/>
    <mergeCell ref="AB486:AD486"/>
    <mergeCell ref="B486:D486"/>
    <mergeCell ref="E486:I486"/>
    <mergeCell ref="J486:M486"/>
    <mergeCell ref="N486:P486"/>
    <mergeCell ref="AE484:AG484"/>
    <mergeCell ref="B485:D485"/>
    <mergeCell ref="E485:I485"/>
    <mergeCell ref="J485:M485"/>
    <mergeCell ref="N485:P485"/>
    <mergeCell ref="Q485:R485"/>
    <mergeCell ref="S485:V485"/>
    <mergeCell ref="X485:AA485"/>
    <mergeCell ref="AB485:AD485"/>
    <mergeCell ref="AE485:AG485"/>
    <mergeCell ref="Q484:R484"/>
    <mergeCell ref="S484:V484"/>
    <mergeCell ref="X484:AA484"/>
    <mergeCell ref="AB484:AD484"/>
    <mergeCell ref="B484:D484"/>
    <mergeCell ref="E484:I484"/>
    <mergeCell ref="J484:M484"/>
    <mergeCell ref="N484:P484"/>
    <mergeCell ref="AE482:AG482"/>
    <mergeCell ref="B483:D483"/>
    <mergeCell ref="E483:I483"/>
    <mergeCell ref="J483:M483"/>
    <mergeCell ref="N483:P483"/>
    <mergeCell ref="Q483:R483"/>
    <mergeCell ref="S483:V483"/>
    <mergeCell ref="X483:AA483"/>
    <mergeCell ref="AB483:AD483"/>
    <mergeCell ref="AE483:AG483"/>
    <mergeCell ref="Q482:R482"/>
    <mergeCell ref="S482:V482"/>
    <mergeCell ref="X482:AA482"/>
    <mergeCell ref="AB482:AD482"/>
    <mergeCell ref="B482:D482"/>
    <mergeCell ref="E482:I482"/>
    <mergeCell ref="J482:M482"/>
    <mergeCell ref="N482:P482"/>
    <mergeCell ref="AE480:AG480"/>
    <mergeCell ref="B481:D481"/>
    <mergeCell ref="E481:I481"/>
    <mergeCell ref="J481:M481"/>
    <mergeCell ref="N481:P481"/>
    <mergeCell ref="Q481:R481"/>
    <mergeCell ref="S481:V481"/>
    <mergeCell ref="X481:AA481"/>
    <mergeCell ref="AB481:AD481"/>
    <mergeCell ref="AE481:AG481"/>
    <mergeCell ref="Q480:R480"/>
    <mergeCell ref="S480:V480"/>
    <mergeCell ref="X480:AA480"/>
    <mergeCell ref="AB480:AD480"/>
    <mergeCell ref="B480:D480"/>
    <mergeCell ref="E480:I480"/>
    <mergeCell ref="J480:M480"/>
    <mergeCell ref="N480:P480"/>
    <mergeCell ref="AE478:AG478"/>
    <mergeCell ref="B479:D479"/>
    <mergeCell ref="E479:I479"/>
    <mergeCell ref="J479:M479"/>
    <mergeCell ref="N479:P479"/>
    <mergeCell ref="Q479:R479"/>
    <mergeCell ref="S479:V479"/>
    <mergeCell ref="X479:AA479"/>
    <mergeCell ref="AB479:AD479"/>
    <mergeCell ref="AE479:AG479"/>
    <mergeCell ref="Q478:R478"/>
    <mergeCell ref="S478:V478"/>
    <mergeCell ref="X478:AA478"/>
    <mergeCell ref="AB478:AD478"/>
    <mergeCell ref="B478:D478"/>
    <mergeCell ref="E478:I478"/>
    <mergeCell ref="J478:M478"/>
    <mergeCell ref="N478:P478"/>
    <mergeCell ref="AE476:AG476"/>
    <mergeCell ref="B477:D477"/>
    <mergeCell ref="E477:I477"/>
    <mergeCell ref="J477:M477"/>
    <mergeCell ref="N477:P477"/>
    <mergeCell ref="Q477:R477"/>
    <mergeCell ref="S477:V477"/>
    <mergeCell ref="X477:AA477"/>
    <mergeCell ref="AB477:AD477"/>
    <mergeCell ref="AE477:AG477"/>
    <mergeCell ref="Q476:R476"/>
    <mergeCell ref="S476:V476"/>
    <mergeCell ref="X476:AA476"/>
    <mergeCell ref="AB476:AD476"/>
    <mergeCell ref="B476:D476"/>
    <mergeCell ref="E476:I476"/>
    <mergeCell ref="J476:M476"/>
    <mergeCell ref="N476:P476"/>
    <mergeCell ref="AE474:AG474"/>
    <mergeCell ref="B475:D475"/>
    <mergeCell ref="E475:I475"/>
    <mergeCell ref="J475:M475"/>
    <mergeCell ref="N475:P475"/>
    <mergeCell ref="Q475:R475"/>
    <mergeCell ref="S475:V475"/>
    <mergeCell ref="X475:AA475"/>
    <mergeCell ref="AB475:AD475"/>
    <mergeCell ref="AE475:AG475"/>
    <mergeCell ref="Q474:R474"/>
    <mergeCell ref="S474:V474"/>
    <mergeCell ref="X474:AA474"/>
    <mergeCell ref="AB474:AD474"/>
    <mergeCell ref="B474:D474"/>
    <mergeCell ref="E474:I474"/>
    <mergeCell ref="J474:M474"/>
    <mergeCell ref="N474:P474"/>
    <mergeCell ref="AE472:AG472"/>
    <mergeCell ref="B473:D473"/>
    <mergeCell ref="E473:I473"/>
    <mergeCell ref="J473:M473"/>
    <mergeCell ref="N473:P473"/>
    <mergeCell ref="Q473:R473"/>
    <mergeCell ref="S473:V473"/>
    <mergeCell ref="X473:AA473"/>
    <mergeCell ref="AB473:AD473"/>
    <mergeCell ref="AE473:AG473"/>
    <mergeCell ref="Q472:R472"/>
    <mergeCell ref="S472:V472"/>
    <mergeCell ref="X472:AA472"/>
    <mergeCell ref="AB472:AD472"/>
    <mergeCell ref="B472:D472"/>
    <mergeCell ref="E472:I472"/>
    <mergeCell ref="J472:M472"/>
    <mergeCell ref="N472:P472"/>
    <mergeCell ref="AE470:AG470"/>
    <mergeCell ref="B471:D471"/>
    <mergeCell ref="E471:I471"/>
    <mergeCell ref="J471:M471"/>
    <mergeCell ref="N471:P471"/>
    <mergeCell ref="Q471:R471"/>
    <mergeCell ref="S471:V471"/>
    <mergeCell ref="X471:AA471"/>
    <mergeCell ref="AB471:AD471"/>
    <mergeCell ref="AE471:AG471"/>
    <mergeCell ref="Q470:R470"/>
    <mergeCell ref="S470:V470"/>
    <mergeCell ref="X470:AA470"/>
    <mergeCell ref="AB470:AD470"/>
    <mergeCell ref="B470:D470"/>
    <mergeCell ref="E470:I470"/>
    <mergeCell ref="J470:M470"/>
    <mergeCell ref="N470:P470"/>
    <mergeCell ref="AE468:AG468"/>
    <mergeCell ref="B469:D469"/>
    <mergeCell ref="E469:I469"/>
    <mergeCell ref="J469:M469"/>
    <mergeCell ref="N469:P469"/>
    <mergeCell ref="Q469:R469"/>
    <mergeCell ref="S469:V469"/>
    <mergeCell ref="X469:AA469"/>
    <mergeCell ref="AB469:AD469"/>
    <mergeCell ref="AE469:AG469"/>
    <mergeCell ref="Q468:R468"/>
    <mergeCell ref="S468:V468"/>
    <mergeCell ref="X468:AA468"/>
    <mergeCell ref="AB468:AD468"/>
    <mergeCell ref="B468:D468"/>
    <mergeCell ref="E468:I468"/>
    <mergeCell ref="J468:M468"/>
    <mergeCell ref="N468:P468"/>
    <mergeCell ref="AE466:AG466"/>
    <mergeCell ref="B467:D467"/>
    <mergeCell ref="E467:I467"/>
    <mergeCell ref="J467:M467"/>
    <mergeCell ref="N467:P467"/>
    <mergeCell ref="Q467:R467"/>
    <mergeCell ref="S467:V467"/>
    <mergeCell ref="X467:AA467"/>
    <mergeCell ref="AB467:AD467"/>
    <mergeCell ref="AE467:AG467"/>
    <mergeCell ref="Q466:R466"/>
    <mergeCell ref="S466:V466"/>
    <mergeCell ref="X466:AA466"/>
    <mergeCell ref="AB466:AD466"/>
    <mergeCell ref="B466:D466"/>
    <mergeCell ref="E466:I466"/>
    <mergeCell ref="J466:M466"/>
    <mergeCell ref="N466:P466"/>
    <mergeCell ref="AE464:AG464"/>
    <mergeCell ref="B465:D465"/>
    <mergeCell ref="E465:I465"/>
    <mergeCell ref="J465:M465"/>
    <mergeCell ref="N465:P465"/>
    <mergeCell ref="Q465:R465"/>
    <mergeCell ref="S465:V465"/>
    <mergeCell ref="X465:AA465"/>
    <mergeCell ref="AB465:AD465"/>
    <mergeCell ref="AE465:AG465"/>
    <mergeCell ref="Q464:R464"/>
    <mergeCell ref="S464:V464"/>
    <mergeCell ref="X464:AA464"/>
    <mergeCell ref="AB464:AD464"/>
    <mergeCell ref="B464:D464"/>
    <mergeCell ref="E464:I464"/>
    <mergeCell ref="J464:M464"/>
    <mergeCell ref="N464:P464"/>
    <mergeCell ref="AE462:AG462"/>
    <mergeCell ref="B463:D463"/>
    <mergeCell ref="E463:I463"/>
    <mergeCell ref="J463:M463"/>
    <mergeCell ref="N463:P463"/>
    <mergeCell ref="Q463:R463"/>
    <mergeCell ref="S463:V463"/>
    <mergeCell ref="X463:AA463"/>
    <mergeCell ref="AB463:AD463"/>
    <mergeCell ref="AE463:AG463"/>
    <mergeCell ref="Q462:R462"/>
    <mergeCell ref="S462:V462"/>
    <mergeCell ref="X462:AA462"/>
    <mergeCell ref="AB462:AD462"/>
    <mergeCell ref="B462:D462"/>
    <mergeCell ref="E462:I462"/>
    <mergeCell ref="J462:M462"/>
    <mergeCell ref="N462:P462"/>
    <mergeCell ref="AE460:AG460"/>
    <mergeCell ref="B461:D461"/>
    <mergeCell ref="E461:I461"/>
    <mergeCell ref="J461:M461"/>
    <mergeCell ref="N461:P461"/>
    <mergeCell ref="Q461:R461"/>
    <mergeCell ref="S461:V461"/>
    <mergeCell ref="X461:AA461"/>
    <mergeCell ref="AB461:AD461"/>
    <mergeCell ref="AE461:AG461"/>
    <mergeCell ref="Q460:R460"/>
    <mergeCell ref="S460:V460"/>
    <mergeCell ref="X460:AA460"/>
    <mergeCell ref="AB460:AD460"/>
    <mergeCell ref="B460:D460"/>
    <mergeCell ref="E460:I460"/>
    <mergeCell ref="J460:M460"/>
    <mergeCell ref="N460:P460"/>
    <mergeCell ref="AE458:AG458"/>
    <mergeCell ref="B459:D459"/>
    <mergeCell ref="E459:I459"/>
    <mergeCell ref="J459:M459"/>
    <mergeCell ref="N459:P459"/>
    <mergeCell ref="Q459:R459"/>
    <mergeCell ref="S459:V459"/>
    <mergeCell ref="X459:AA459"/>
    <mergeCell ref="AB459:AD459"/>
    <mergeCell ref="AE459:AG459"/>
    <mergeCell ref="Q458:R458"/>
    <mergeCell ref="S458:V458"/>
    <mergeCell ref="X458:AA458"/>
    <mergeCell ref="AB458:AD458"/>
    <mergeCell ref="B458:D458"/>
    <mergeCell ref="E458:I458"/>
    <mergeCell ref="J458:M458"/>
    <mergeCell ref="N458:P458"/>
    <mergeCell ref="AE456:AG456"/>
    <mergeCell ref="B457:D457"/>
    <mergeCell ref="E457:I457"/>
    <mergeCell ref="J457:M457"/>
    <mergeCell ref="N457:P457"/>
    <mergeCell ref="Q457:R457"/>
    <mergeCell ref="S457:V457"/>
    <mergeCell ref="X457:AA457"/>
    <mergeCell ref="AB457:AD457"/>
    <mergeCell ref="AE457:AG457"/>
    <mergeCell ref="Q456:R456"/>
    <mergeCell ref="S456:V456"/>
    <mergeCell ref="X456:AA456"/>
    <mergeCell ref="AB456:AD456"/>
    <mergeCell ref="B456:D456"/>
    <mergeCell ref="E456:I456"/>
    <mergeCell ref="J456:M456"/>
    <mergeCell ref="N456:P456"/>
    <mergeCell ref="AE454:AG454"/>
    <mergeCell ref="B455:D455"/>
    <mergeCell ref="E455:I455"/>
    <mergeCell ref="J455:M455"/>
    <mergeCell ref="N455:P455"/>
    <mergeCell ref="Q455:R455"/>
    <mergeCell ref="S455:V455"/>
    <mergeCell ref="X455:AA455"/>
    <mergeCell ref="AB455:AD455"/>
    <mergeCell ref="AE455:AG455"/>
    <mergeCell ref="Q454:R454"/>
    <mergeCell ref="S454:V454"/>
    <mergeCell ref="X454:AA454"/>
    <mergeCell ref="AB454:AD454"/>
    <mergeCell ref="B454:D454"/>
    <mergeCell ref="E454:I454"/>
    <mergeCell ref="J454:M454"/>
    <mergeCell ref="N454:P454"/>
    <mergeCell ref="AE452:AG452"/>
    <mergeCell ref="B453:D453"/>
    <mergeCell ref="E453:I453"/>
    <mergeCell ref="J453:M453"/>
    <mergeCell ref="N453:P453"/>
    <mergeCell ref="Q453:R453"/>
    <mergeCell ref="S453:V453"/>
    <mergeCell ref="X453:AA453"/>
    <mergeCell ref="AB453:AD453"/>
    <mergeCell ref="AE453:AG453"/>
    <mergeCell ref="Q452:R452"/>
    <mergeCell ref="S452:V452"/>
    <mergeCell ref="X452:AA452"/>
    <mergeCell ref="AB452:AD452"/>
    <mergeCell ref="B452:D452"/>
    <mergeCell ref="E452:I452"/>
    <mergeCell ref="J452:M452"/>
    <mergeCell ref="N452:P452"/>
    <mergeCell ref="AE450:AG450"/>
    <mergeCell ref="B451:D451"/>
    <mergeCell ref="E451:I451"/>
    <mergeCell ref="J451:M451"/>
    <mergeCell ref="N451:P451"/>
    <mergeCell ref="Q451:R451"/>
    <mergeCell ref="S451:V451"/>
    <mergeCell ref="X451:AA451"/>
    <mergeCell ref="AB451:AD451"/>
    <mergeCell ref="AE451:AG451"/>
    <mergeCell ref="Q450:R450"/>
    <mergeCell ref="S450:V450"/>
    <mergeCell ref="X450:AA450"/>
    <mergeCell ref="AB450:AD450"/>
    <mergeCell ref="B450:D450"/>
    <mergeCell ref="E450:I450"/>
    <mergeCell ref="J450:M450"/>
    <mergeCell ref="N450:P450"/>
    <mergeCell ref="AE448:AG448"/>
    <mergeCell ref="B449:D449"/>
    <mergeCell ref="E449:I449"/>
    <mergeCell ref="J449:M449"/>
    <mergeCell ref="N449:P449"/>
    <mergeCell ref="Q449:R449"/>
    <mergeCell ref="S449:V449"/>
    <mergeCell ref="X449:AA449"/>
    <mergeCell ref="AB449:AD449"/>
    <mergeCell ref="AE449:AG449"/>
    <mergeCell ref="Q448:R448"/>
    <mergeCell ref="S448:V448"/>
    <mergeCell ref="X448:AA448"/>
    <mergeCell ref="AB448:AD448"/>
    <mergeCell ref="B448:D448"/>
    <mergeCell ref="E448:I448"/>
    <mergeCell ref="J448:M448"/>
    <mergeCell ref="N448:P448"/>
    <mergeCell ref="AE446:AG446"/>
    <mergeCell ref="B447:D447"/>
    <mergeCell ref="E447:I447"/>
    <mergeCell ref="J447:M447"/>
    <mergeCell ref="N447:P447"/>
    <mergeCell ref="Q447:R447"/>
    <mergeCell ref="S447:V447"/>
    <mergeCell ref="X447:AA447"/>
    <mergeCell ref="AB447:AD447"/>
    <mergeCell ref="AE447:AG447"/>
    <mergeCell ref="Q446:R446"/>
    <mergeCell ref="S446:V446"/>
    <mergeCell ref="X446:AA446"/>
    <mergeCell ref="AB446:AD446"/>
    <mergeCell ref="B446:D446"/>
    <mergeCell ref="E446:I446"/>
    <mergeCell ref="J446:M446"/>
    <mergeCell ref="N446:P446"/>
    <mergeCell ref="AE444:AG444"/>
    <mergeCell ref="B445:D445"/>
    <mergeCell ref="E445:I445"/>
    <mergeCell ref="J445:M445"/>
    <mergeCell ref="N445:P445"/>
    <mergeCell ref="Q445:R445"/>
    <mergeCell ref="S445:V445"/>
    <mergeCell ref="X445:AA445"/>
    <mergeCell ref="AB445:AD445"/>
    <mergeCell ref="AE445:AG445"/>
    <mergeCell ref="Q444:R444"/>
    <mergeCell ref="S444:V444"/>
    <mergeCell ref="X444:AA444"/>
    <mergeCell ref="AB444:AD444"/>
    <mergeCell ref="B444:D444"/>
    <mergeCell ref="E444:I444"/>
    <mergeCell ref="J444:M444"/>
    <mergeCell ref="N444:P444"/>
    <mergeCell ref="AE442:AG442"/>
    <mergeCell ref="B443:D443"/>
    <mergeCell ref="E443:I443"/>
    <mergeCell ref="J443:M443"/>
    <mergeCell ref="N443:P443"/>
    <mergeCell ref="Q443:R443"/>
    <mergeCell ref="S443:V443"/>
    <mergeCell ref="X443:AA443"/>
    <mergeCell ref="AB443:AD443"/>
    <mergeCell ref="AE443:AG443"/>
    <mergeCell ref="Q442:R442"/>
    <mergeCell ref="S442:V442"/>
    <mergeCell ref="X442:AA442"/>
    <mergeCell ref="AB442:AD442"/>
    <mergeCell ref="B442:D442"/>
    <mergeCell ref="E442:I442"/>
    <mergeCell ref="J442:M442"/>
    <mergeCell ref="N442:P442"/>
    <mergeCell ref="AE440:AG440"/>
    <mergeCell ref="B441:D441"/>
    <mergeCell ref="E441:I441"/>
    <mergeCell ref="J441:M441"/>
    <mergeCell ref="N441:P441"/>
    <mergeCell ref="Q441:R441"/>
    <mergeCell ref="S441:V441"/>
    <mergeCell ref="X441:AA441"/>
    <mergeCell ref="AB441:AD441"/>
    <mergeCell ref="AE441:AG441"/>
    <mergeCell ref="Q440:R440"/>
    <mergeCell ref="S440:V440"/>
    <mergeCell ref="X440:AA440"/>
    <mergeCell ref="AB440:AD440"/>
    <mergeCell ref="B440:D440"/>
    <mergeCell ref="E440:I440"/>
    <mergeCell ref="J440:M440"/>
    <mergeCell ref="N440:P440"/>
    <mergeCell ref="AE438:AG438"/>
    <mergeCell ref="B439:D439"/>
    <mergeCell ref="E439:I439"/>
    <mergeCell ref="J439:M439"/>
    <mergeCell ref="N439:P439"/>
    <mergeCell ref="Q439:R439"/>
    <mergeCell ref="S439:V439"/>
    <mergeCell ref="X439:AA439"/>
    <mergeCell ref="AB439:AD439"/>
    <mergeCell ref="AE439:AG439"/>
    <mergeCell ref="Q438:R438"/>
    <mergeCell ref="S438:V438"/>
    <mergeCell ref="X438:AA438"/>
    <mergeCell ref="AB438:AD438"/>
    <mergeCell ref="B438:D438"/>
    <mergeCell ref="E438:I438"/>
    <mergeCell ref="J438:M438"/>
    <mergeCell ref="N438:P438"/>
    <mergeCell ref="AE436:AG436"/>
    <mergeCell ref="B437:D437"/>
    <mergeCell ref="E437:I437"/>
    <mergeCell ref="J437:M437"/>
    <mergeCell ref="N437:P437"/>
    <mergeCell ref="Q437:R437"/>
    <mergeCell ref="S437:V437"/>
    <mergeCell ref="X437:AA437"/>
    <mergeCell ref="AB437:AD437"/>
    <mergeCell ref="AE437:AG437"/>
    <mergeCell ref="Q436:R436"/>
    <mergeCell ref="S436:V436"/>
    <mergeCell ref="X436:AA436"/>
    <mergeCell ref="AB436:AD436"/>
    <mergeCell ref="B436:D436"/>
    <mergeCell ref="E436:I436"/>
    <mergeCell ref="J436:M436"/>
    <mergeCell ref="N436:P436"/>
    <mergeCell ref="AE434:AG434"/>
    <mergeCell ref="B435:D435"/>
    <mergeCell ref="E435:I435"/>
    <mergeCell ref="J435:M435"/>
    <mergeCell ref="N435:P435"/>
    <mergeCell ref="Q435:R435"/>
    <mergeCell ref="S435:V435"/>
    <mergeCell ref="X435:AA435"/>
    <mergeCell ref="AB435:AD435"/>
    <mergeCell ref="AE435:AG435"/>
    <mergeCell ref="Q434:R434"/>
    <mergeCell ref="S434:V434"/>
    <mergeCell ref="X434:AA434"/>
    <mergeCell ref="AB434:AD434"/>
    <mergeCell ref="B434:D434"/>
    <mergeCell ref="E434:I434"/>
    <mergeCell ref="J434:M434"/>
    <mergeCell ref="N434:P434"/>
    <mergeCell ref="AE432:AG432"/>
    <mergeCell ref="B433:D433"/>
    <mergeCell ref="E433:I433"/>
    <mergeCell ref="J433:M433"/>
    <mergeCell ref="N433:P433"/>
    <mergeCell ref="Q433:R433"/>
    <mergeCell ref="S433:V433"/>
    <mergeCell ref="X433:AA433"/>
    <mergeCell ref="AB433:AD433"/>
    <mergeCell ref="AE433:AG433"/>
    <mergeCell ref="Q432:R432"/>
    <mergeCell ref="S432:V432"/>
    <mergeCell ref="X432:AA432"/>
    <mergeCell ref="AB432:AD432"/>
    <mergeCell ref="B432:D432"/>
    <mergeCell ref="E432:I432"/>
    <mergeCell ref="J432:M432"/>
    <mergeCell ref="N432:P432"/>
    <mergeCell ref="AE430:AG430"/>
    <mergeCell ref="B431:D431"/>
    <mergeCell ref="E431:I431"/>
    <mergeCell ref="J431:M431"/>
    <mergeCell ref="N431:P431"/>
    <mergeCell ref="Q431:R431"/>
    <mergeCell ref="S431:V431"/>
    <mergeCell ref="X431:AA431"/>
    <mergeCell ref="AB431:AD431"/>
    <mergeCell ref="AE431:AG431"/>
    <mergeCell ref="Q430:R430"/>
    <mergeCell ref="S430:V430"/>
    <mergeCell ref="X430:AA430"/>
    <mergeCell ref="AB430:AD430"/>
    <mergeCell ref="B430:D430"/>
    <mergeCell ref="E430:I430"/>
    <mergeCell ref="J430:M430"/>
    <mergeCell ref="N430:P430"/>
    <mergeCell ref="AE428:AG428"/>
    <mergeCell ref="B429:D429"/>
    <mergeCell ref="E429:I429"/>
    <mergeCell ref="J429:M429"/>
    <mergeCell ref="N429:P429"/>
    <mergeCell ref="Q429:R429"/>
    <mergeCell ref="S429:V429"/>
    <mergeCell ref="X429:AA429"/>
    <mergeCell ref="AB429:AD429"/>
    <mergeCell ref="AE429:AG429"/>
    <mergeCell ref="Q428:R428"/>
    <mergeCell ref="S428:V428"/>
    <mergeCell ref="X428:AA428"/>
    <mergeCell ref="AB428:AD428"/>
    <mergeCell ref="B428:D428"/>
    <mergeCell ref="E428:I428"/>
    <mergeCell ref="J428:M428"/>
    <mergeCell ref="N428:P428"/>
    <mergeCell ref="AE426:AG426"/>
    <mergeCell ref="B427:D427"/>
    <mergeCell ref="E427:I427"/>
    <mergeCell ref="J427:M427"/>
    <mergeCell ref="N427:P427"/>
    <mergeCell ref="Q427:R427"/>
    <mergeCell ref="S427:V427"/>
    <mergeCell ref="X427:AA427"/>
    <mergeCell ref="AB427:AD427"/>
    <mergeCell ref="AE427:AG427"/>
    <mergeCell ref="Q426:R426"/>
    <mergeCell ref="S426:V426"/>
    <mergeCell ref="X426:AA426"/>
    <mergeCell ref="AB426:AD426"/>
    <mergeCell ref="B426:D426"/>
    <mergeCell ref="E426:I426"/>
    <mergeCell ref="J426:M426"/>
    <mergeCell ref="N426:P426"/>
    <mergeCell ref="AE424:AG424"/>
    <mergeCell ref="B425:D425"/>
    <mergeCell ref="E425:I425"/>
    <mergeCell ref="J425:M425"/>
    <mergeCell ref="N425:P425"/>
    <mergeCell ref="Q425:R425"/>
    <mergeCell ref="S425:V425"/>
    <mergeCell ref="X425:AA425"/>
    <mergeCell ref="AB425:AD425"/>
    <mergeCell ref="AE425:AG425"/>
    <mergeCell ref="Q424:R424"/>
    <mergeCell ref="S424:V424"/>
    <mergeCell ref="X424:AA424"/>
    <mergeCell ref="AB424:AD424"/>
    <mergeCell ref="B424:D424"/>
    <mergeCell ref="E424:I424"/>
    <mergeCell ref="J424:M424"/>
    <mergeCell ref="N424:P424"/>
    <mergeCell ref="AE422:AG422"/>
    <mergeCell ref="B423:D423"/>
    <mergeCell ref="E423:I423"/>
    <mergeCell ref="J423:M423"/>
    <mergeCell ref="N423:P423"/>
    <mergeCell ref="Q423:R423"/>
    <mergeCell ref="S423:V423"/>
    <mergeCell ref="X423:AA423"/>
    <mergeCell ref="AB423:AD423"/>
    <mergeCell ref="AE423:AG423"/>
    <mergeCell ref="Q422:R422"/>
    <mergeCell ref="S422:V422"/>
    <mergeCell ref="X422:AA422"/>
    <mergeCell ref="AB422:AD422"/>
    <mergeCell ref="B422:D422"/>
    <mergeCell ref="E422:I422"/>
    <mergeCell ref="J422:M422"/>
    <mergeCell ref="N422:P422"/>
    <mergeCell ref="AE420:AG420"/>
    <mergeCell ref="B421:D421"/>
    <mergeCell ref="E421:I421"/>
    <mergeCell ref="J421:M421"/>
    <mergeCell ref="N421:P421"/>
    <mergeCell ref="Q421:R421"/>
    <mergeCell ref="S421:V421"/>
    <mergeCell ref="X421:AA421"/>
    <mergeCell ref="AB421:AD421"/>
    <mergeCell ref="AE421:AG421"/>
    <mergeCell ref="Q420:R420"/>
    <mergeCell ref="S420:V420"/>
    <mergeCell ref="X420:AA420"/>
    <mergeCell ref="AB420:AD420"/>
    <mergeCell ref="B420:D420"/>
    <mergeCell ref="E420:I420"/>
    <mergeCell ref="J420:M420"/>
    <mergeCell ref="N420:P420"/>
    <mergeCell ref="AE418:AG418"/>
    <mergeCell ref="B419:D419"/>
    <mergeCell ref="E419:I419"/>
    <mergeCell ref="J419:M419"/>
    <mergeCell ref="N419:P419"/>
    <mergeCell ref="Q419:R419"/>
    <mergeCell ref="S419:V419"/>
    <mergeCell ref="X419:AA419"/>
    <mergeCell ref="AB419:AD419"/>
    <mergeCell ref="AE419:AG419"/>
    <mergeCell ref="Q418:R418"/>
    <mergeCell ref="S418:V418"/>
    <mergeCell ref="X418:AA418"/>
    <mergeCell ref="AB418:AD418"/>
    <mergeCell ref="B418:D418"/>
    <mergeCell ref="E418:I418"/>
    <mergeCell ref="J418:M418"/>
    <mergeCell ref="N418:P418"/>
    <mergeCell ref="AE416:AG416"/>
    <mergeCell ref="B417:D417"/>
    <mergeCell ref="E417:I417"/>
    <mergeCell ref="J417:M417"/>
    <mergeCell ref="N417:P417"/>
    <mergeCell ref="Q417:R417"/>
    <mergeCell ref="S417:V417"/>
    <mergeCell ref="X417:AA417"/>
    <mergeCell ref="AB417:AD417"/>
    <mergeCell ref="AE417:AG417"/>
    <mergeCell ref="Q416:R416"/>
    <mergeCell ref="S416:V416"/>
    <mergeCell ref="X416:AA416"/>
    <mergeCell ref="AB416:AD416"/>
    <mergeCell ref="B416:D416"/>
    <mergeCell ref="E416:I416"/>
    <mergeCell ref="J416:M416"/>
    <mergeCell ref="N416:P416"/>
    <mergeCell ref="AE414:AG414"/>
    <mergeCell ref="B415:D415"/>
    <mergeCell ref="E415:I415"/>
    <mergeCell ref="J415:M415"/>
    <mergeCell ref="N415:P415"/>
    <mergeCell ref="Q415:R415"/>
    <mergeCell ref="S415:V415"/>
    <mergeCell ref="X415:AA415"/>
    <mergeCell ref="AB415:AD415"/>
    <mergeCell ref="AE415:AG415"/>
    <mergeCell ref="Q414:R414"/>
    <mergeCell ref="S414:V414"/>
    <mergeCell ref="X414:AA414"/>
    <mergeCell ref="AB414:AD414"/>
    <mergeCell ref="B414:D414"/>
    <mergeCell ref="E414:I414"/>
    <mergeCell ref="J414:M414"/>
    <mergeCell ref="N414:P414"/>
    <mergeCell ref="AE412:AG412"/>
    <mergeCell ref="B413:D413"/>
    <mergeCell ref="E413:I413"/>
    <mergeCell ref="J413:M413"/>
    <mergeCell ref="N413:P413"/>
    <mergeCell ref="Q413:R413"/>
    <mergeCell ref="S413:V413"/>
    <mergeCell ref="X413:AA413"/>
    <mergeCell ref="AB413:AD413"/>
    <mergeCell ref="AE413:AG413"/>
    <mergeCell ref="Q412:R412"/>
    <mergeCell ref="S412:V412"/>
    <mergeCell ref="X412:AA412"/>
    <mergeCell ref="AB412:AD412"/>
    <mergeCell ref="B412:D412"/>
    <mergeCell ref="E412:I412"/>
    <mergeCell ref="J412:M412"/>
    <mergeCell ref="N412:P412"/>
    <mergeCell ref="AE410:AG410"/>
    <mergeCell ref="B411:D411"/>
    <mergeCell ref="E411:I411"/>
    <mergeCell ref="J411:M411"/>
    <mergeCell ref="N411:P411"/>
    <mergeCell ref="Q411:R411"/>
    <mergeCell ref="S411:V411"/>
    <mergeCell ref="X411:AA411"/>
    <mergeCell ref="AB411:AD411"/>
    <mergeCell ref="AE411:AG411"/>
    <mergeCell ref="Q410:R410"/>
    <mergeCell ref="S410:V410"/>
    <mergeCell ref="X410:AA410"/>
    <mergeCell ref="AB410:AD410"/>
    <mergeCell ref="B410:D410"/>
    <mergeCell ref="E410:I410"/>
    <mergeCell ref="J410:M410"/>
    <mergeCell ref="N410:P410"/>
    <mergeCell ref="AE408:AG408"/>
    <mergeCell ref="B409:D409"/>
    <mergeCell ref="E409:I409"/>
    <mergeCell ref="J409:M409"/>
    <mergeCell ref="N409:P409"/>
    <mergeCell ref="Q409:R409"/>
    <mergeCell ref="S409:V409"/>
    <mergeCell ref="X409:AA409"/>
    <mergeCell ref="AB409:AD409"/>
    <mergeCell ref="AE409:AG409"/>
    <mergeCell ref="Q408:R408"/>
    <mergeCell ref="S408:V408"/>
    <mergeCell ref="X408:AA408"/>
    <mergeCell ref="AB408:AD408"/>
    <mergeCell ref="B408:D408"/>
    <mergeCell ref="E408:I408"/>
    <mergeCell ref="J408:M408"/>
    <mergeCell ref="N408:P408"/>
    <mergeCell ref="AE406:AG406"/>
    <mergeCell ref="B407:D407"/>
    <mergeCell ref="E407:I407"/>
    <mergeCell ref="J407:M407"/>
    <mergeCell ref="N407:P407"/>
    <mergeCell ref="Q407:R407"/>
    <mergeCell ref="S407:V407"/>
    <mergeCell ref="X407:AA407"/>
    <mergeCell ref="AB407:AD407"/>
    <mergeCell ref="AE407:AG407"/>
    <mergeCell ref="Q406:R406"/>
    <mergeCell ref="S406:V406"/>
    <mergeCell ref="X406:AA406"/>
    <mergeCell ref="AB406:AD406"/>
    <mergeCell ref="B406:D406"/>
    <mergeCell ref="E406:I406"/>
    <mergeCell ref="J406:M406"/>
    <mergeCell ref="N406:P406"/>
    <mergeCell ref="AE404:AG404"/>
    <mergeCell ref="B405:D405"/>
    <mergeCell ref="E405:I405"/>
    <mergeCell ref="J405:M405"/>
    <mergeCell ref="N405:P405"/>
    <mergeCell ref="Q405:R405"/>
    <mergeCell ref="S405:V405"/>
    <mergeCell ref="X405:AA405"/>
    <mergeCell ref="AB405:AD405"/>
    <mergeCell ref="AE405:AG405"/>
    <mergeCell ref="Q404:R404"/>
    <mergeCell ref="S404:V404"/>
    <mergeCell ref="X404:AA404"/>
    <mergeCell ref="AB404:AD404"/>
    <mergeCell ref="B404:D404"/>
    <mergeCell ref="E404:I404"/>
    <mergeCell ref="J404:M404"/>
    <mergeCell ref="N404:P404"/>
    <mergeCell ref="AE402:AG402"/>
    <mergeCell ref="B403:D403"/>
    <mergeCell ref="E403:I403"/>
    <mergeCell ref="J403:M403"/>
    <mergeCell ref="N403:P403"/>
    <mergeCell ref="Q403:R403"/>
    <mergeCell ref="S403:V403"/>
    <mergeCell ref="X403:AA403"/>
    <mergeCell ref="AB403:AD403"/>
    <mergeCell ref="AE403:AG403"/>
    <mergeCell ref="Q402:R402"/>
    <mergeCell ref="S402:V402"/>
    <mergeCell ref="X402:AA402"/>
    <mergeCell ref="AB402:AD402"/>
    <mergeCell ref="B402:D402"/>
    <mergeCell ref="E402:I402"/>
    <mergeCell ref="J402:M402"/>
    <mergeCell ref="N402:P402"/>
    <mergeCell ref="AE400:AG400"/>
    <mergeCell ref="B401:D401"/>
    <mergeCell ref="E401:I401"/>
    <mergeCell ref="J401:M401"/>
    <mergeCell ref="N401:P401"/>
    <mergeCell ref="Q401:R401"/>
    <mergeCell ref="S401:V401"/>
    <mergeCell ref="X401:AA401"/>
    <mergeCell ref="AB401:AD401"/>
    <mergeCell ref="AE401:AG401"/>
    <mergeCell ref="Q400:R400"/>
    <mergeCell ref="S400:V400"/>
    <mergeCell ref="X400:AA400"/>
    <mergeCell ref="AB400:AD400"/>
    <mergeCell ref="B400:D400"/>
    <mergeCell ref="E400:I400"/>
    <mergeCell ref="J400:M400"/>
    <mergeCell ref="N400:P400"/>
    <mergeCell ref="AE398:AG398"/>
    <mergeCell ref="B399:D399"/>
    <mergeCell ref="E399:I399"/>
    <mergeCell ref="J399:M399"/>
    <mergeCell ref="N399:P399"/>
    <mergeCell ref="Q399:R399"/>
    <mergeCell ref="S399:V399"/>
    <mergeCell ref="X399:AA399"/>
    <mergeCell ref="AB399:AD399"/>
    <mergeCell ref="AE399:AG399"/>
    <mergeCell ref="Q398:R398"/>
    <mergeCell ref="S398:V398"/>
    <mergeCell ref="X398:AA398"/>
    <mergeCell ref="AB398:AD398"/>
    <mergeCell ref="B398:D398"/>
    <mergeCell ref="E398:I398"/>
    <mergeCell ref="J398:M398"/>
    <mergeCell ref="N398:P398"/>
    <mergeCell ref="AE396:AG396"/>
    <mergeCell ref="B397:D397"/>
    <mergeCell ref="E397:I397"/>
    <mergeCell ref="J397:M397"/>
    <mergeCell ref="N397:P397"/>
    <mergeCell ref="Q397:R397"/>
    <mergeCell ref="S397:V397"/>
    <mergeCell ref="X397:AA397"/>
    <mergeCell ref="AB397:AD397"/>
    <mergeCell ref="AE397:AG397"/>
    <mergeCell ref="Q396:R396"/>
    <mergeCell ref="S396:V396"/>
    <mergeCell ref="X396:AA396"/>
    <mergeCell ref="AB396:AD396"/>
    <mergeCell ref="B396:D396"/>
    <mergeCell ref="E396:I396"/>
    <mergeCell ref="J396:M396"/>
    <mergeCell ref="N396:P396"/>
    <mergeCell ref="AE394:AG394"/>
    <mergeCell ref="B395:D395"/>
    <mergeCell ref="E395:I395"/>
    <mergeCell ref="J395:M395"/>
    <mergeCell ref="N395:P395"/>
    <mergeCell ref="Q395:R395"/>
    <mergeCell ref="S395:V395"/>
    <mergeCell ref="X395:AA395"/>
    <mergeCell ref="AB395:AD395"/>
    <mergeCell ref="AE395:AG395"/>
    <mergeCell ref="Q394:R394"/>
    <mergeCell ref="S394:V394"/>
    <mergeCell ref="X394:AA394"/>
    <mergeCell ref="AB394:AD394"/>
    <mergeCell ref="B394:D394"/>
    <mergeCell ref="E394:I394"/>
    <mergeCell ref="J394:M394"/>
    <mergeCell ref="N394:P394"/>
    <mergeCell ref="AE392:AG392"/>
    <mergeCell ref="B393:D393"/>
    <mergeCell ref="E393:I393"/>
    <mergeCell ref="J393:M393"/>
    <mergeCell ref="N393:P393"/>
    <mergeCell ref="Q393:R393"/>
    <mergeCell ref="S393:V393"/>
    <mergeCell ref="X393:AA393"/>
    <mergeCell ref="AB393:AD393"/>
    <mergeCell ref="AE393:AG393"/>
    <mergeCell ref="Q392:R392"/>
    <mergeCell ref="S392:V392"/>
    <mergeCell ref="X392:AA392"/>
    <mergeCell ref="AB392:AD392"/>
    <mergeCell ref="B392:D392"/>
    <mergeCell ref="E392:I392"/>
    <mergeCell ref="J392:M392"/>
    <mergeCell ref="N392:P392"/>
    <mergeCell ref="AE390:AG390"/>
    <mergeCell ref="B391:D391"/>
    <mergeCell ref="E391:I391"/>
    <mergeCell ref="J391:M391"/>
    <mergeCell ref="N391:P391"/>
    <mergeCell ref="Q391:R391"/>
    <mergeCell ref="S391:V391"/>
    <mergeCell ref="X391:AA391"/>
    <mergeCell ref="AB391:AD391"/>
    <mergeCell ref="AE391:AG391"/>
    <mergeCell ref="Q390:R390"/>
    <mergeCell ref="S390:V390"/>
    <mergeCell ref="X390:AA390"/>
    <mergeCell ref="AB390:AD390"/>
    <mergeCell ref="B390:D390"/>
    <mergeCell ref="E390:I390"/>
    <mergeCell ref="J390:M390"/>
    <mergeCell ref="N390:P390"/>
    <mergeCell ref="AE388:AG388"/>
    <mergeCell ref="B389:D389"/>
    <mergeCell ref="E389:I389"/>
    <mergeCell ref="J389:M389"/>
    <mergeCell ref="N389:P389"/>
    <mergeCell ref="Q389:R389"/>
    <mergeCell ref="S389:V389"/>
    <mergeCell ref="X389:AA389"/>
    <mergeCell ref="AB389:AD389"/>
    <mergeCell ref="AE389:AG389"/>
    <mergeCell ref="Q388:R388"/>
    <mergeCell ref="S388:V388"/>
    <mergeCell ref="X388:AA388"/>
    <mergeCell ref="AB388:AD388"/>
    <mergeCell ref="B388:D388"/>
    <mergeCell ref="E388:I388"/>
    <mergeCell ref="J388:M388"/>
    <mergeCell ref="N388:P388"/>
    <mergeCell ref="AE386:AG386"/>
    <mergeCell ref="B387:D387"/>
    <mergeCell ref="E387:I387"/>
    <mergeCell ref="J387:M387"/>
    <mergeCell ref="N387:P387"/>
    <mergeCell ref="Q387:R387"/>
    <mergeCell ref="S387:V387"/>
    <mergeCell ref="X387:AA387"/>
    <mergeCell ref="AB387:AD387"/>
    <mergeCell ref="AE387:AG387"/>
    <mergeCell ref="Q386:R386"/>
    <mergeCell ref="S386:V386"/>
    <mergeCell ref="X386:AA386"/>
    <mergeCell ref="AB386:AD386"/>
    <mergeCell ref="B386:D386"/>
    <mergeCell ref="E386:I386"/>
    <mergeCell ref="J386:M386"/>
    <mergeCell ref="N386:P386"/>
    <mergeCell ref="AE384:AG384"/>
    <mergeCell ref="B385:D385"/>
    <mergeCell ref="E385:I385"/>
    <mergeCell ref="J385:M385"/>
    <mergeCell ref="N385:P385"/>
    <mergeCell ref="Q385:R385"/>
    <mergeCell ref="S385:V385"/>
    <mergeCell ref="X385:AA385"/>
    <mergeCell ref="AB385:AD385"/>
    <mergeCell ref="AE385:AG385"/>
    <mergeCell ref="Q384:R384"/>
    <mergeCell ref="S384:V384"/>
    <mergeCell ref="X384:AA384"/>
    <mergeCell ref="AB384:AD384"/>
    <mergeCell ref="B384:D384"/>
    <mergeCell ref="E384:I384"/>
    <mergeCell ref="J384:M384"/>
    <mergeCell ref="N384:P384"/>
    <mergeCell ref="AE382:AG382"/>
    <mergeCell ref="B383:D383"/>
    <mergeCell ref="E383:I383"/>
    <mergeCell ref="J383:M383"/>
    <mergeCell ref="N383:P383"/>
    <mergeCell ref="Q383:R383"/>
    <mergeCell ref="S383:V383"/>
    <mergeCell ref="X383:AA383"/>
    <mergeCell ref="AB383:AD383"/>
    <mergeCell ref="AE383:AG383"/>
    <mergeCell ref="Q382:R382"/>
    <mergeCell ref="S382:V382"/>
    <mergeCell ref="X382:AA382"/>
    <mergeCell ref="AB382:AD382"/>
    <mergeCell ref="B382:D382"/>
    <mergeCell ref="E382:I382"/>
    <mergeCell ref="J382:M382"/>
    <mergeCell ref="N382:P382"/>
    <mergeCell ref="AE380:AG380"/>
    <mergeCell ref="B381:D381"/>
    <mergeCell ref="E381:I381"/>
    <mergeCell ref="J381:M381"/>
    <mergeCell ref="N381:P381"/>
    <mergeCell ref="Q381:R381"/>
    <mergeCell ref="S381:V381"/>
    <mergeCell ref="X381:AA381"/>
    <mergeCell ref="AB381:AD381"/>
    <mergeCell ref="AE381:AG381"/>
    <mergeCell ref="Q380:R380"/>
    <mergeCell ref="S380:V380"/>
    <mergeCell ref="X380:AA380"/>
    <mergeCell ref="AB380:AD380"/>
    <mergeCell ref="B380:D380"/>
    <mergeCell ref="E380:I380"/>
    <mergeCell ref="J380:M380"/>
    <mergeCell ref="N380:P380"/>
    <mergeCell ref="AE378:AG378"/>
    <mergeCell ref="B379:D379"/>
    <mergeCell ref="E379:I379"/>
    <mergeCell ref="J379:M379"/>
    <mergeCell ref="N379:P379"/>
    <mergeCell ref="Q379:R379"/>
    <mergeCell ref="S379:V379"/>
    <mergeCell ref="X379:AA379"/>
    <mergeCell ref="AB379:AD379"/>
    <mergeCell ref="AE379:AG379"/>
    <mergeCell ref="Q378:R378"/>
    <mergeCell ref="S378:V378"/>
    <mergeCell ref="X378:AA378"/>
    <mergeCell ref="AB378:AD378"/>
    <mergeCell ref="B378:D378"/>
    <mergeCell ref="E378:I378"/>
    <mergeCell ref="J378:M378"/>
    <mergeCell ref="N378:P378"/>
    <mergeCell ref="AE376:AG376"/>
    <mergeCell ref="B377:D377"/>
    <mergeCell ref="E377:I377"/>
    <mergeCell ref="J377:M377"/>
    <mergeCell ref="N377:P377"/>
    <mergeCell ref="Q377:R377"/>
    <mergeCell ref="S377:V377"/>
    <mergeCell ref="X377:AA377"/>
    <mergeCell ref="AB377:AD377"/>
    <mergeCell ref="AE377:AG377"/>
    <mergeCell ref="Q376:R376"/>
    <mergeCell ref="S376:V376"/>
    <mergeCell ref="X376:AA376"/>
    <mergeCell ref="AB376:AD376"/>
    <mergeCell ref="B376:D376"/>
    <mergeCell ref="E376:I376"/>
    <mergeCell ref="J376:M376"/>
    <mergeCell ref="N376:P376"/>
    <mergeCell ref="AE374:AG374"/>
    <mergeCell ref="B375:D375"/>
    <mergeCell ref="E375:I375"/>
    <mergeCell ref="J375:M375"/>
    <mergeCell ref="N375:P375"/>
    <mergeCell ref="Q375:R375"/>
    <mergeCell ref="S375:V375"/>
    <mergeCell ref="X375:AA375"/>
    <mergeCell ref="AB375:AD375"/>
    <mergeCell ref="AE375:AG375"/>
    <mergeCell ref="Q374:R374"/>
    <mergeCell ref="S374:V374"/>
    <mergeCell ref="X374:AA374"/>
    <mergeCell ref="AB374:AD374"/>
    <mergeCell ref="B374:D374"/>
    <mergeCell ref="E374:I374"/>
    <mergeCell ref="J374:M374"/>
    <mergeCell ref="N374:P374"/>
    <mergeCell ref="AE372:AG372"/>
    <mergeCell ref="B373:D373"/>
    <mergeCell ref="E373:I373"/>
    <mergeCell ref="J373:M373"/>
    <mergeCell ref="N373:P373"/>
    <mergeCell ref="Q373:R373"/>
    <mergeCell ref="S373:V373"/>
    <mergeCell ref="X373:AA373"/>
    <mergeCell ref="AB373:AD373"/>
    <mergeCell ref="AE373:AG373"/>
    <mergeCell ref="Q372:R372"/>
    <mergeCell ref="S372:V372"/>
    <mergeCell ref="X372:AA372"/>
    <mergeCell ref="AB372:AD372"/>
    <mergeCell ref="B372:D372"/>
    <mergeCell ref="E372:I372"/>
    <mergeCell ref="J372:M372"/>
    <mergeCell ref="N372:P372"/>
    <mergeCell ref="AE370:AG370"/>
    <mergeCell ref="B371:D371"/>
    <mergeCell ref="E371:I371"/>
    <mergeCell ref="J371:M371"/>
    <mergeCell ref="N371:P371"/>
    <mergeCell ref="Q371:R371"/>
    <mergeCell ref="S371:V371"/>
    <mergeCell ref="X371:AA371"/>
    <mergeCell ref="AB371:AD371"/>
    <mergeCell ref="AE371:AG371"/>
    <mergeCell ref="Q370:R370"/>
    <mergeCell ref="S370:V370"/>
    <mergeCell ref="X370:AA370"/>
    <mergeCell ref="AB370:AD370"/>
    <mergeCell ref="B370:D370"/>
    <mergeCell ref="E370:I370"/>
    <mergeCell ref="J370:M370"/>
    <mergeCell ref="N370:P370"/>
    <mergeCell ref="AE368:AG368"/>
    <mergeCell ref="B369:D369"/>
    <mergeCell ref="E369:I369"/>
    <mergeCell ref="J369:M369"/>
    <mergeCell ref="N369:P369"/>
    <mergeCell ref="Q369:R369"/>
    <mergeCell ref="S369:V369"/>
    <mergeCell ref="X369:AA369"/>
    <mergeCell ref="AB369:AD369"/>
    <mergeCell ref="AE369:AG369"/>
    <mergeCell ref="Q368:R368"/>
    <mergeCell ref="S368:V368"/>
    <mergeCell ref="X368:AA368"/>
    <mergeCell ref="AB368:AD368"/>
    <mergeCell ref="B368:D368"/>
    <mergeCell ref="E368:I368"/>
    <mergeCell ref="J368:M368"/>
    <mergeCell ref="N368:P368"/>
    <mergeCell ref="AE366:AG366"/>
    <mergeCell ref="B367:D367"/>
    <mergeCell ref="E367:I367"/>
    <mergeCell ref="J367:M367"/>
    <mergeCell ref="N367:P367"/>
    <mergeCell ref="Q367:R367"/>
    <mergeCell ref="S367:V367"/>
    <mergeCell ref="X367:AA367"/>
    <mergeCell ref="AB367:AD367"/>
    <mergeCell ref="AE367:AG367"/>
    <mergeCell ref="Q366:R366"/>
    <mergeCell ref="S366:V366"/>
    <mergeCell ref="X366:AA366"/>
    <mergeCell ref="AB366:AD366"/>
    <mergeCell ref="B366:D366"/>
    <mergeCell ref="E366:I366"/>
    <mergeCell ref="J366:M366"/>
    <mergeCell ref="N366:P366"/>
    <mergeCell ref="AE364:AG364"/>
    <mergeCell ref="B365:D365"/>
    <mergeCell ref="E365:I365"/>
    <mergeCell ref="J365:M365"/>
    <mergeCell ref="N365:P365"/>
    <mergeCell ref="Q365:R365"/>
    <mergeCell ref="S365:V365"/>
    <mergeCell ref="X365:AA365"/>
    <mergeCell ref="AB365:AD365"/>
    <mergeCell ref="AE365:AG365"/>
    <mergeCell ref="Q364:R364"/>
    <mergeCell ref="S364:V364"/>
    <mergeCell ref="X364:AA364"/>
    <mergeCell ref="AB364:AD364"/>
    <mergeCell ref="B364:D364"/>
    <mergeCell ref="E364:I364"/>
    <mergeCell ref="J364:M364"/>
    <mergeCell ref="N364:P364"/>
    <mergeCell ref="AE362:AG362"/>
    <mergeCell ref="B363:D363"/>
    <mergeCell ref="E363:I363"/>
    <mergeCell ref="J363:M363"/>
    <mergeCell ref="N363:P363"/>
    <mergeCell ref="Q363:R363"/>
    <mergeCell ref="S363:V363"/>
    <mergeCell ref="X363:AA363"/>
    <mergeCell ref="AB363:AD363"/>
    <mergeCell ref="AE363:AG363"/>
    <mergeCell ref="Q362:R362"/>
    <mergeCell ref="S362:V362"/>
    <mergeCell ref="X362:AA362"/>
    <mergeCell ref="AB362:AD362"/>
    <mergeCell ref="B362:D362"/>
    <mergeCell ref="E362:I362"/>
    <mergeCell ref="J362:M362"/>
    <mergeCell ref="N362:P362"/>
    <mergeCell ref="AE360:AG360"/>
    <mergeCell ref="B361:D361"/>
    <mergeCell ref="E361:I361"/>
    <mergeCell ref="J361:M361"/>
    <mergeCell ref="N361:P361"/>
    <mergeCell ref="Q361:R361"/>
    <mergeCell ref="S361:V361"/>
    <mergeCell ref="X361:AA361"/>
    <mergeCell ref="AB361:AD361"/>
    <mergeCell ref="AE361:AG361"/>
    <mergeCell ref="Q360:R360"/>
    <mergeCell ref="S360:V360"/>
    <mergeCell ref="X360:AA360"/>
    <mergeCell ref="AB360:AD360"/>
    <mergeCell ref="B360:D360"/>
    <mergeCell ref="E360:I360"/>
    <mergeCell ref="J360:M360"/>
    <mergeCell ref="N360:P360"/>
    <mergeCell ref="AE358:AG358"/>
    <mergeCell ref="B359:D359"/>
    <mergeCell ref="E359:I359"/>
    <mergeCell ref="J359:M359"/>
    <mergeCell ref="N359:P359"/>
    <mergeCell ref="Q359:R359"/>
    <mergeCell ref="S359:V359"/>
    <mergeCell ref="X359:AA359"/>
    <mergeCell ref="AB359:AD359"/>
    <mergeCell ref="AE359:AG359"/>
    <mergeCell ref="Q358:R358"/>
    <mergeCell ref="S358:V358"/>
    <mergeCell ref="X358:AA358"/>
    <mergeCell ref="AB358:AD358"/>
    <mergeCell ref="B358:D358"/>
    <mergeCell ref="E358:I358"/>
    <mergeCell ref="J358:M358"/>
    <mergeCell ref="N358:P358"/>
    <mergeCell ref="AE356:AG356"/>
    <mergeCell ref="B357:D357"/>
    <mergeCell ref="E357:I357"/>
    <mergeCell ref="J357:M357"/>
    <mergeCell ref="N357:P357"/>
    <mergeCell ref="Q357:R357"/>
    <mergeCell ref="S357:V357"/>
    <mergeCell ref="X357:AA357"/>
    <mergeCell ref="AB357:AD357"/>
    <mergeCell ref="AE357:AG357"/>
    <mergeCell ref="Q356:R356"/>
    <mergeCell ref="S356:V356"/>
    <mergeCell ref="X356:AA356"/>
    <mergeCell ref="AB356:AD356"/>
    <mergeCell ref="B356:D356"/>
    <mergeCell ref="E356:I356"/>
    <mergeCell ref="J356:M356"/>
    <mergeCell ref="N356:P356"/>
    <mergeCell ref="AE354:AG354"/>
    <mergeCell ref="B355:D355"/>
    <mergeCell ref="E355:I355"/>
    <mergeCell ref="J355:M355"/>
    <mergeCell ref="N355:P355"/>
    <mergeCell ref="Q355:R355"/>
    <mergeCell ref="S355:V355"/>
    <mergeCell ref="X355:AA355"/>
    <mergeCell ref="AB355:AD355"/>
    <mergeCell ref="AE355:AG355"/>
    <mergeCell ref="Q354:R354"/>
    <mergeCell ref="S354:V354"/>
    <mergeCell ref="X354:AA354"/>
    <mergeCell ref="AB354:AD354"/>
    <mergeCell ref="B354:D354"/>
    <mergeCell ref="E354:I354"/>
    <mergeCell ref="J354:M354"/>
    <mergeCell ref="N354:P354"/>
    <mergeCell ref="AE352:AG352"/>
    <mergeCell ref="B353:D353"/>
    <mergeCell ref="E353:I353"/>
    <mergeCell ref="J353:M353"/>
    <mergeCell ref="N353:P353"/>
    <mergeCell ref="Q353:R353"/>
    <mergeCell ref="S353:V353"/>
    <mergeCell ref="X353:AA353"/>
    <mergeCell ref="AB353:AD353"/>
    <mergeCell ref="AE353:AG353"/>
    <mergeCell ref="Q352:R352"/>
    <mergeCell ref="S352:V352"/>
    <mergeCell ref="X352:AA352"/>
    <mergeCell ref="AB352:AD352"/>
    <mergeCell ref="B352:D352"/>
    <mergeCell ref="E352:I352"/>
    <mergeCell ref="J352:M352"/>
    <mergeCell ref="N352:P352"/>
    <mergeCell ref="AE350:AG350"/>
    <mergeCell ref="B351:D351"/>
    <mergeCell ref="E351:I351"/>
    <mergeCell ref="J351:M351"/>
    <mergeCell ref="N351:P351"/>
    <mergeCell ref="Q351:R351"/>
    <mergeCell ref="S351:V351"/>
    <mergeCell ref="X351:AA351"/>
    <mergeCell ref="AB351:AD351"/>
    <mergeCell ref="AE351:AG351"/>
    <mergeCell ref="Q350:R350"/>
    <mergeCell ref="S350:V350"/>
    <mergeCell ref="X350:AA350"/>
    <mergeCell ref="AB350:AD350"/>
    <mergeCell ref="B350:D350"/>
    <mergeCell ref="E350:I350"/>
    <mergeCell ref="J350:M350"/>
    <mergeCell ref="N350:P350"/>
    <mergeCell ref="AE348:AG348"/>
    <mergeCell ref="B349:D349"/>
    <mergeCell ref="E349:I349"/>
    <mergeCell ref="J349:M349"/>
    <mergeCell ref="N349:P349"/>
    <mergeCell ref="Q349:R349"/>
    <mergeCell ref="S349:V349"/>
    <mergeCell ref="X349:AA349"/>
    <mergeCell ref="AB349:AD349"/>
    <mergeCell ref="AE349:AG349"/>
    <mergeCell ref="Q348:R348"/>
    <mergeCell ref="S348:V348"/>
    <mergeCell ref="X348:AA348"/>
    <mergeCell ref="AB348:AD348"/>
    <mergeCell ref="B348:D348"/>
    <mergeCell ref="E348:I348"/>
    <mergeCell ref="J348:M348"/>
    <mergeCell ref="N348:P348"/>
    <mergeCell ref="AE346:AG346"/>
    <mergeCell ref="B347:D347"/>
    <mergeCell ref="E347:I347"/>
    <mergeCell ref="J347:M347"/>
    <mergeCell ref="N347:P347"/>
    <mergeCell ref="Q347:R347"/>
    <mergeCell ref="S347:V347"/>
    <mergeCell ref="X347:AA347"/>
    <mergeCell ref="AB347:AD347"/>
    <mergeCell ref="AE347:AG347"/>
    <mergeCell ref="Q346:R346"/>
    <mergeCell ref="S346:V346"/>
    <mergeCell ref="X346:AA346"/>
    <mergeCell ref="AB346:AD346"/>
    <mergeCell ref="B346:D346"/>
    <mergeCell ref="E346:I346"/>
    <mergeCell ref="J346:M346"/>
    <mergeCell ref="N346:P346"/>
    <mergeCell ref="AE344:AG344"/>
    <mergeCell ref="B345:D345"/>
    <mergeCell ref="E345:I345"/>
    <mergeCell ref="J345:M345"/>
    <mergeCell ref="N345:P345"/>
    <mergeCell ref="Q345:R345"/>
    <mergeCell ref="S345:V345"/>
    <mergeCell ref="X345:AA345"/>
    <mergeCell ref="AB345:AD345"/>
    <mergeCell ref="AE345:AG345"/>
    <mergeCell ref="Q344:R344"/>
    <mergeCell ref="S344:V344"/>
    <mergeCell ref="X344:AA344"/>
    <mergeCell ref="AB344:AD344"/>
    <mergeCell ref="B344:D344"/>
    <mergeCell ref="E344:I344"/>
    <mergeCell ref="J344:M344"/>
    <mergeCell ref="N344:P344"/>
    <mergeCell ref="AE342:AG342"/>
    <mergeCell ref="B343:D343"/>
    <mergeCell ref="E343:I343"/>
    <mergeCell ref="J343:M343"/>
    <mergeCell ref="N343:P343"/>
    <mergeCell ref="Q343:R343"/>
    <mergeCell ref="S343:V343"/>
    <mergeCell ref="X343:AA343"/>
    <mergeCell ref="AB343:AD343"/>
    <mergeCell ref="AE343:AG343"/>
    <mergeCell ref="Q342:R342"/>
    <mergeCell ref="S342:V342"/>
    <mergeCell ref="X342:AA342"/>
    <mergeCell ref="AB342:AD342"/>
    <mergeCell ref="B342:D342"/>
    <mergeCell ref="E342:I342"/>
    <mergeCell ref="J342:M342"/>
    <mergeCell ref="N342:P342"/>
    <mergeCell ref="AE340:AG340"/>
    <mergeCell ref="B341:D341"/>
    <mergeCell ref="E341:I341"/>
    <mergeCell ref="J341:M341"/>
    <mergeCell ref="N341:P341"/>
    <mergeCell ref="Q341:R341"/>
    <mergeCell ref="S341:V341"/>
    <mergeCell ref="X341:AA341"/>
    <mergeCell ref="AB341:AD341"/>
    <mergeCell ref="AE341:AG341"/>
    <mergeCell ref="Q340:R340"/>
    <mergeCell ref="S340:V340"/>
    <mergeCell ref="X340:AA340"/>
    <mergeCell ref="AB340:AD340"/>
    <mergeCell ref="B340:D340"/>
    <mergeCell ref="E340:I340"/>
    <mergeCell ref="J340:M340"/>
    <mergeCell ref="N340:P340"/>
    <mergeCell ref="AE338:AG338"/>
    <mergeCell ref="B339:D339"/>
    <mergeCell ref="E339:I339"/>
    <mergeCell ref="J339:M339"/>
    <mergeCell ref="N339:P339"/>
    <mergeCell ref="Q339:R339"/>
    <mergeCell ref="S339:V339"/>
    <mergeCell ref="X339:AA339"/>
    <mergeCell ref="AB339:AD339"/>
    <mergeCell ref="AE339:AG339"/>
    <mergeCell ref="Q338:R338"/>
    <mergeCell ref="S338:V338"/>
    <mergeCell ref="X338:AA338"/>
    <mergeCell ref="AB338:AD338"/>
    <mergeCell ref="B338:D338"/>
    <mergeCell ref="E338:I338"/>
    <mergeCell ref="J338:M338"/>
    <mergeCell ref="N338:P338"/>
    <mergeCell ref="AE336:AG336"/>
    <mergeCell ref="B337:D337"/>
    <mergeCell ref="E337:I337"/>
    <mergeCell ref="J337:M337"/>
    <mergeCell ref="N337:P337"/>
    <mergeCell ref="Q337:R337"/>
    <mergeCell ref="S337:V337"/>
    <mergeCell ref="X337:AA337"/>
    <mergeCell ref="AB337:AD337"/>
    <mergeCell ref="AE337:AG337"/>
    <mergeCell ref="Q336:R336"/>
    <mergeCell ref="S336:V336"/>
    <mergeCell ref="X336:AA336"/>
    <mergeCell ref="AB336:AD336"/>
    <mergeCell ref="B336:D336"/>
    <mergeCell ref="E336:I336"/>
    <mergeCell ref="J336:M336"/>
    <mergeCell ref="N336:P336"/>
    <mergeCell ref="AE334:AG334"/>
    <mergeCell ref="B335:D335"/>
    <mergeCell ref="E335:I335"/>
    <mergeCell ref="J335:M335"/>
    <mergeCell ref="N335:P335"/>
    <mergeCell ref="Q335:R335"/>
    <mergeCell ref="S335:V335"/>
    <mergeCell ref="X335:AA335"/>
    <mergeCell ref="AB335:AD335"/>
    <mergeCell ref="AE335:AG335"/>
    <mergeCell ref="Q334:R334"/>
    <mergeCell ref="S334:V334"/>
    <mergeCell ref="X334:AA334"/>
    <mergeCell ref="AB334:AD334"/>
    <mergeCell ref="B334:D334"/>
    <mergeCell ref="E334:I334"/>
    <mergeCell ref="J334:M334"/>
    <mergeCell ref="N334:P334"/>
    <mergeCell ref="AE332:AG332"/>
    <mergeCell ref="B333:D333"/>
    <mergeCell ref="E333:I333"/>
    <mergeCell ref="J333:M333"/>
    <mergeCell ref="N333:P333"/>
    <mergeCell ref="Q333:R333"/>
    <mergeCell ref="S333:V333"/>
    <mergeCell ref="X333:AA333"/>
    <mergeCell ref="AB333:AD333"/>
    <mergeCell ref="AE333:AG333"/>
    <mergeCell ref="Q332:R332"/>
    <mergeCell ref="S332:V332"/>
    <mergeCell ref="X332:AA332"/>
    <mergeCell ref="AB332:AD332"/>
    <mergeCell ref="B332:D332"/>
    <mergeCell ref="E332:I332"/>
    <mergeCell ref="J332:M332"/>
    <mergeCell ref="N332:P332"/>
    <mergeCell ref="AE330:AG330"/>
    <mergeCell ref="B331:D331"/>
    <mergeCell ref="E331:I331"/>
    <mergeCell ref="J331:M331"/>
    <mergeCell ref="N331:P331"/>
    <mergeCell ref="Q331:R331"/>
    <mergeCell ref="S331:V331"/>
    <mergeCell ref="X331:AA331"/>
    <mergeCell ref="AB331:AD331"/>
    <mergeCell ref="AE331:AG331"/>
    <mergeCell ref="Q330:R330"/>
    <mergeCell ref="S330:V330"/>
    <mergeCell ref="X330:AA330"/>
    <mergeCell ref="AB330:AD330"/>
    <mergeCell ref="B330:D330"/>
    <mergeCell ref="E330:I330"/>
    <mergeCell ref="J330:M330"/>
    <mergeCell ref="N330:P330"/>
    <mergeCell ref="AE328:AG328"/>
    <mergeCell ref="B329:D329"/>
    <mergeCell ref="E329:I329"/>
    <mergeCell ref="J329:M329"/>
    <mergeCell ref="N329:P329"/>
    <mergeCell ref="Q329:R329"/>
    <mergeCell ref="S329:V329"/>
    <mergeCell ref="X329:AA329"/>
    <mergeCell ref="AB329:AD329"/>
    <mergeCell ref="AE329:AG329"/>
    <mergeCell ref="Q328:R328"/>
    <mergeCell ref="S328:V328"/>
    <mergeCell ref="X328:AA328"/>
    <mergeCell ref="AB328:AD328"/>
    <mergeCell ref="B328:D328"/>
    <mergeCell ref="E328:I328"/>
    <mergeCell ref="J328:M328"/>
    <mergeCell ref="N328:P328"/>
    <mergeCell ref="AE326:AG326"/>
    <mergeCell ref="B327:D327"/>
    <mergeCell ref="E327:I327"/>
    <mergeCell ref="J327:M327"/>
    <mergeCell ref="N327:P327"/>
    <mergeCell ref="Q327:R327"/>
    <mergeCell ref="S327:V327"/>
    <mergeCell ref="X327:AA327"/>
    <mergeCell ref="AB327:AD327"/>
    <mergeCell ref="AE327:AG327"/>
    <mergeCell ref="Q326:R326"/>
    <mergeCell ref="S326:V326"/>
    <mergeCell ref="X326:AA326"/>
    <mergeCell ref="AB326:AD326"/>
    <mergeCell ref="B326:D326"/>
    <mergeCell ref="E326:I326"/>
    <mergeCell ref="J326:M326"/>
    <mergeCell ref="N326:P326"/>
    <mergeCell ref="AE324:AG324"/>
    <mergeCell ref="B325:D325"/>
    <mergeCell ref="E325:I325"/>
    <mergeCell ref="J325:M325"/>
    <mergeCell ref="N325:P325"/>
    <mergeCell ref="Q325:R325"/>
    <mergeCell ref="S325:V325"/>
    <mergeCell ref="X325:AA325"/>
    <mergeCell ref="AB325:AD325"/>
    <mergeCell ref="AE325:AG325"/>
    <mergeCell ref="Q324:R324"/>
    <mergeCell ref="S324:V324"/>
    <mergeCell ref="X324:AA324"/>
    <mergeCell ref="AB324:AD324"/>
    <mergeCell ref="B324:D324"/>
    <mergeCell ref="E324:I324"/>
    <mergeCell ref="J324:M324"/>
    <mergeCell ref="N324:P324"/>
    <mergeCell ref="AE322:AG322"/>
    <mergeCell ref="B323:D323"/>
    <mergeCell ref="E323:I323"/>
    <mergeCell ref="J323:M323"/>
    <mergeCell ref="N323:P323"/>
    <mergeCell ref="Q323:R323"/>
    <mergeCell ref="S323:V323"/>
    <mergeCell ref="X323:AA323"/>
    <mergeCell ref="AB323:AD323"/>
    <mergeCell ref="AE323:AG323"/>
    <mergeCell ref="Q322:R322"/>
    <mergeCell ref="S322:V322"/>
    <mergeCell ref="X322:AA322"/>
    <mergeCell ref="AB322:AD322"/>
    <mergeCell ref="B322:D322"/>
    <mergeCell ref="E322:I322"/>
    <mergeCell ref="J322:M322"/>
    <mergeCell ref="N322:P322"/>
    <mergeCell ref="AE320:AG320"/>
    <mergeCell ref="B321:D321"/>
    <mergeCell ref="E321:I321"/>
    <mergeCell ref="J321:M321"/>
    <mergeCell ref="N321:P321"/>
    <mergeCell ref="Q321:R321"/>
    <mergeCell ref="S321:V321"/>
    <mergeCell ref="X321:AA321"/>
    <mergeCell ref="AB321:AD321"/>
    <mergeCell ref="AE321:AG321"/>
    <mergeCell ref="Q320:R320"/>
    <mergeCell ref="S320:V320"/>
    <mergeCell ref="X320:AA320"/>
    <mergeCell ref="AB320:AD320"/>
    <mergeCell ref="B320:D320"/>
    <mergeCell ref="E320:I320"/>
    <mergeCell ref="J320:M320"/>
    <mergeCell ref="N320:P320"/>
    <mergeCell ref="AE318:AG318"/>
    <mergeCell ref="B319:D319"/>
    <mergeCell ref="E319:I319"/>
    <mergeCell ref="J319:M319"/>
    <mergeCell ref="N319:P319"/>
    <mergeCell ref="Q319:R319"/>
    <mergeCell ref="S319:V319"/>
    <mergeCell ref="X319:AA319"/>
    <mergeCell ref="AB319:AD319"/>
    <mergeCell ref="AE319:AG319"/>
    <mergeCell ref="Q318:R318"/>
    <mergeCell ref="S318:V318"/>
    <mergeCell ref="X318:AA318"/>
    <mergeCell ref="AB318:AD318"/>
    <mergeCell ref="B318:D318"/>
    <mergeCell ref="E318:I318"/>
    <mergeCell ref="J318:M318"/>
    <mergeCell ref="N318:P318"/>
    <mergeCell ref="AE316:AG316"/>
    <mergeCell ref="B317:D317"/>
    <mergeCell ref="E317:I317"/>
    <mergeCell ref="J317:M317"/>
    <mergeCell ref="N317:P317"/>
    <mergeCell ref="Q317:R317"/>
    <mergeCell ref="S317:V317"/>
    <mergeCell ref="X317:AA317"/>
    <mergeCell ref="AB317:AD317"/>
    <mergeCell ref="AE317:AG317"/>
    <mergeCell ref="Q316:R316"/>
    <mergeCell ref="S316:V316"/>
    <mergeCell ref="X316:AA316"/>
    <mergeCell ref="AB316:AD316"/>
    <mergeCell ref="B316:D316"/>
    <mergeCell ref="E316:I316"/>
    <mergeCell ref="J316:M316"/>
    <mergeCell ref="N316:P316"/>
    <mergeCell ref="AE314:AG314"/>
    <mergeCell ref="B315:D315"/>
    <mergeCell ref="E315:I315"/>
    <mergeCell ref="J315:M315"/>
    <mergeCell ref="N315:P315"/>
    <mergeCell ref="Q315:R315"/>
    <mergeCell ref="S315:V315"/>
    <mergeCell ref="X315:AA315"/>
    <mergeCell ref="AB315:AD315"/>
    <mergeCell ref="AE315:AG315"/>
    <mergeCell ref="Q314:R314"/>
    <mergeCell ref="S314:V314"/>
    <mergeCell ref="X314:AA314"/>
    <mergeCell ref="AB314:AD314"/>
    <mergeCell ref="B314:D314"/>
    <mergeCell ref="E314:I314"/>
    <mergeCell ref="J314:M314"/>
    <mergeCell ref="N314:P314"/>
    <mergeCell ref="AE312:AG312"/>
    <mergeCell ref="B313:D313"/>
    <mergeCell ref="E313:I313"/>
    <mergeCell ref="J313:M313"/>
    <mergeCell ref="N313:P313"/>
    <mergeCell ref="Q313:R313"/>
    <mergeCell ref="S313:V313"/>
    <mergeCell ref="X313:AA313"/>
    <mergeCell ref="AB313:AD313"/>
    <mergeCell ref="AE313:AG313"/>
    <mergeCell ref="Q312:R312"/>
    <mergeCell ref="S312:V312"/>
    <mergeCell ref="X312:AA312"/>
    <mergeCell ref="AB312:AD312"/>
    <mergeCell ref="B312:D312"/>
    <mergeCell ref="E312:I312"/>
    <mergeCell ref="J312:M312"/>
    <mergeCell ref="N312:P312"/>
    <mergeCell ref="AE310:AG310"/>
    <mergeCell ref="B311:D311"/>
    <mergeCell ref="E311:I311"/>
    <mergeCell ref="J311:M311"/>
    <mergeCell ref="N311:P311"/>
    <mergeCell ref="Q311:R311"/>
    <mergeCell ref="S311:V311"/>
    <mergeCell ref="X311:AA311"/>
    <mergeCell ref="AB311:AD311"/>
    <mergeCell ref="AE311:AG311"/>
    <mergeCell ref="Q310:R310"/>
    <mergeCell ref="S310:V310"/>
    <mergeCell ref="X310:AA310"/>
    <mergeCell ref="AB310:AD310"/>
    <mergeCell ref="B310:D310"/>
    <mergeCell ref="E310:I310"/>
    <mergeCell ref="J310:M310"/>
    <mergeCell ref="N310:P310"/>
    <mergeCell ref="AE308:AG308"/>
    <mergeCell ref="B309:D309"/>
    <mergeCell ref="E309:I309"/>
    <mergeCell ref="J309:M309"/>
    <mergeCell ref="N309:P309"/>
    <mergeCell ref="Q309:R309"/>
    <mergeCell ref="S309:V309"/>
    <mergeCell ref="X309:AA309"/>
    <mergeCell ref="AB309:AD309"/>
    <mergeCell ref="AE309:AG309"/>
    <mergeCell ref="Q308:R308"/>
    <mergeCell ref="S308:V308"/>
    <mergeCell ref="X308:AA308"/>
    <mergeCell ref="AB308:AD308"/>
    <mergeCell ref="B308:D308"/>
    <mergeCell ref="E308:I308"/>
    <mergeCell ref="J308:M308"/>
    <mergeCell ref="N308:P308"/>
    <mergeCell ref="AE306:AG306"/>
    <mergeCell ref="B307:D307"/>
    <mergeCell ref="E307:I307"/>
    <mergeCell ref="J307:M307"/>
    <mergeCell ref="N307:P307"/>
    <mergeCell ref="Q307:R307"/>
    <mergeCell ref="S307:V307"/>
    <mergeCell ref="X307:AA307"/>
    <mergeCell ref="AB307:AD307"/>
    <mergeCell ref="AE307:AG307"/>
    <mergeCell ref="Q306:R306"/>
    <mergeCell ref="S306:V306"/>
    <mergeCell ref="X306:AA306"/>
    <mergeCell ref="AB306:AD306"/>
    <mergeCell ref="B306:D306"/>
    <mergeCell ref="E306:I306"/>
    <mergeCell ref="J306:M306"/>
    <mergeCell ref="N306:P306"/>
    <mergeCell ref="AE304:AG304"/>
    <mergeCell ref="B305:D305"/>
    <mergeCell ref="E305:I305"/>
    <mergeCell ref="J305:M305"/>
    <mergeCell ref="N305:P305"/>
    <mergeCell ref="Q305:R305"/>
    <mergeCell ref="S305:V305"/>
    <mergeCell ref="X305:AA305"/>
    <mergeCell ref="AB305:AD305"/>
    <mergeCell ref="AE305:AG305"/>
    <mergeCell ref="Q304:R304"/>
    <mergeCell ref="S304:V304"/>
    <mergeCell ref="X304:AA304"/>
    <mergeCell ref="AB304:AD304"/>
    <mergeCell ref="B304:D304"/>
    <mergeCell ref="E304:I304"/>
    <mergeCell ref="J304:M304"/>
    <mergeCell ref="N304:P304"/>
    <mergeCell ref="AE302:AG302"/>
    <mergeCell ref="B303:D303"/>
    <mergeCell ref="E303:I303"/>
    <mergeCell ref="J303:M303"/>
    <mergeCell ref="N303:P303"/>
    <mergeCell ref="Q303:R303"/>
    <mergeCell ref="S303:V303"/>
    <mergeCell ref="X303:AA303"/>
    <mergeCell ref="AB303:AD303"/>
    <mergeCell ref="AE303:AG303"/>
    <mergeCell ref="Q302:R302"/>
    <mergeCell ref="S302:V302"/>
    <mergeCell ref="X302:AA302"/>
    <mergeCell ref="AB302:AD302"/>
    <mergeCell ref="B302:D302"/>
    <mergeCell ref="E302:I302"/>
    <mergeCell ref="J302:M302"/>
    <mergeCell ref="N302:P302"/>
    <mergeCell ref="AE300:AG300"/>
    <mergeCell ref="B301:D301"/>
    <mergeCell ref="E301:I301"/>
    <mergeCell ref="J301:M301"/>
    <mergeCell ref="N301:P301"/>
    <mergeCell ref="Q301:R301"/>
    <mergeCell ref="S301:V301"/>
    <mergeCell ref="X301:AA301"/>
    <mergeCell ref="AB301:AD301"/>
    <mergeCell ref="AE301:AG301"/>
    <mergeCell ref="Q300:R300"/>
    <mergeCell ref="S300:V300"/>
    <mergeCell ref="X300:AA300"/>
    <mergeCell ref="AB300:AD300"/>
    <mergeCell ref="B300:D300"/>
    <mergeCell ref="E300:I300"/>
    <mergeCell ref="J300:M300"/>
    <mergeCell ref="N300:P300"/>
    <mergeCell ref="AE298:AG298"/>
    <mergeCell ref="B299:D299"/>
    <mergeCell ref="E299:I299"/>
    <mergeCell ref="J299:M299"/>
    <mergeCell ref="N299:P299"/>
    <mergeCell ref="Q299:R299"/>
    <mergeCell ref="S299:V299"/>
    <mergeCell ref="X299:AA299"/>
    <mergeCell ref="AB299:AD299"/>
    <mergeCell ref="AE299:AG299"/>
    <mergeCell ref="Q298:R298"/>
    <mergeCell ref="S298:V298"/>
    <mergeCell ref="X298:AA298"/>
    <mergeCell ref="AB298:AD298"/>
    <mergeCell ref="B298:D298"/>
    <mergeCell ref="E298:I298"/>
    <mergeCell ref="J298:M298"/>
    <mergeCell ref="N298:P298"/>
    <mergeCell ref="AE296:AG296"/>
    <mergeCell ref="B297:D297"/>
    <mergeCell ref="E297:I297"/>
    <mergeCell ref="J297:M297"/>
    <mergeCell ref="N297:P297"/>
    <mergeCell ref="Q297:R297"/>
    <mergeCell ref="S297:V297"/>
    <mergeCell ref="X297:AA297"/>
    <mergeCell ref="AB297:AD297"/>
    <mergeCell ref="AE297:AG297"/>
    <mergeCell ref="Q296:R296"/>
    <mergeCell ref="S296:V296"/>
    <mergeCell ref="X296:AA296"/>
    <mergeCell ref="AB296:AD296"/>
    <mergeCell ref="B296:D296"/>
    <mergeCell ref="E296:I296"/>
    <mergeCell ref="J296:M296"/>
    <mergeCell ref="N296:P296"/>
    <mergeCell ref="AE294:AG294"/>
    <mergeCell ref="B295:D295"/>
    <mergeCell ref="E295:I295"/>
    <mergeCell ref="J295:M295"/>
    <mergeCell ref="N295:P295"/>
    <mergeCell ref="Q295:R295"/>
    <mergeCell ref="S295:V295"/>
    <mergeCell ref="X295:AA295"/>
    <mergeCell ref="AB295:AD295"/>
    <mergeCell ref="AE295:AG295"/>
    <mergeCell ref="Q294:R294"/>
    <mergeCell ref="S294:V294"/>
    <mergeCell ref="X294:AA294"/>
    <mergeCell ref="AB294:AD294"/>
    <mergeCell ref="B294:D294"/>
    <mergeCell ref="E294:I294"/>
    <mergeCell ref="J294:M294"/>
    <mergeCell ref="N294:P294"/>
    <mergeCell ref="AE292:AG292"/>
    <mergeCell ref="B293:D293"/>
    <mergeCell ref="E293:I293"/>
    <mergeCell ref="J293:M293"/>
    <mergeCell ref="N293:P293"/>
    <mergeCell ref="Q293:R293"/>
    <mergeCell ref="S293:V293"/>
    <mergeCell ref="X293:AA293"/>
    <mergeCell ref="AB293:AD293"/>
    <mergeCell ref="AE293:AG293"/>
    <mergeCell ref="Q292:R292"/>
    <mergeCell ref="S292:V292"/>
    <mergeCell ref="X292:AA292"/>
    <mergeCell ref="AB292:AD292"/>
    <mergeCell ref="B292:D292"/>
    <mergeCell ref="E292:I292"/>
    <mergeCell ref="J292:M292"/>
    <mergeCell ref="N292:P292"/>
    <mergeCell ref="AE290:AG290"/>
    <mergeCell ref="B291:D291"/>
    <mergeCell ref="E291:I291"/>
    <mergeCell ref="J291:M291"/>
    <mergeCell ref="N291:P291"/>
    <mergeCell ref="Q291:R291"/>
    <mergeCell ref="S291:V291"/>
    <mergeCell ref="X291:AA291"/>
    <mergeCell ref="AB291:AD291"/>
    <mergeCell ref="AE291:AG291"/>
    <mergeCell ref="Q290:R290"/>
    <mergeCell ref="S290:V290"/>
    <mergeCell ref="X290:AA290"/>
    <mergeCell ref="AB290:AD290"/>
    <mergeCell ref="B290:D290"/>
    <mergeCell ref="E290:I290"/>
    <mergeCell ref="J290:M290"/>
    <mergeCell ref="N290:P290"/>
    <mergeCell ref="AE288:AG288"/>
    <mergeCell ref="B289:D289"/>
    <mergeCell ref="E289:I289"/>
    <mergeCell ref="J289:M289"/>
    <mergeCell ref="N289:P289"/>
    <mergeCell ref="Q289:R289"/>
    <mergeCell ref="S289:V289"/>
    <mergeCell ref="X289:AA289"/>
    <mergeCell ref="AB289:AD289"/>
    <mergeCell ref="AE289:AG289"/>
    <mergeCell ref="Q288:R288"/>
    <mergeCell ref="S288:V288"/>
    <mergeCell ref="X288:AA288"/>
    <mergeCell ref="AB288:AD288"/>
    <mergeCell ref="B288:D288"/>
    <mergeCell ref="E288:I288"/>
    <mergeCell ref="J288:M288"/>
    <mergeCell ref="N288:P288"/>
    <mergeCell ref="AE286:AG286"/>
    <mergeCell ref="B287:D287"/>
    <mergeCell ref="E287:I287"/>
    <mergeCell ref="J287:M287"/>
    <mergeCell ref="N287:P287"/>
    <mergeCell ref="Q287:R287"/>
    <mergeCell ref="S287:V287"/>
    <mergeCell ref="X287:AA287"/>
    <mergeCell ref="AB287:AD287"/>
    <mergeCell ref="AE287:AG287"/>
    <mergeCell ref="Q286:R286"/>
    <mergeCell ref="S286:V286"/>
    <mergeCell ref="X286:AA286"/>
    <mergeCell ref="AB286:AD286"/>
    <mergeCell ref="B286:D286"/>
    <mergeCell ref="E286:I286"/>
    <mergeCell ref="J286:M286"/>
    <mergeCell ref="N286:P286"/>
    <mergeCell ref="AE284:AG284"/>
    <mergeCell ref="B285:D285"/>
    <mergeCell ref="E285:I285"/>
    <mergeCell ref="J285:M285"/>
    <mergeCell ref="N285:P285"/>
    <mergeCell ref="Q285:R285"/>
    <mergeCell ref="S285:V285"/>
    <mergeCell ref="X285:AA285"/>
    <mergeCell ref="AB285:AD285"/>
    <mergeCell ref="AE285:AG285"/>
    <mergeCell ref="Q284:R284"/>
    <mergeCell ref="S284:V284"/>
    <mergeCell ref="X284:AA284"/>
    <mergeCell ref="AB284:AD284"/>
    <mergeCell ref="B284:D284"/>
    <mergeCell ref="E284:I284"/>
    <mergeCell ref="J284:M284"/>
    <mergeCell ref="N284:P284"/>
    <mergeCell ref="AE282:AG282"/>
    <mergeCell ref="B283:D283"/>
    <mergeCell ref="E283:I283"/>
    <mergeCell ref="J283:M283"/>
    <mergeCell ref="N283:P283"/>
    <mergeCell ref="Q283:R283"/>
    <mergeCell ref="S283:V283"/>
    <mergeCell ref="X283:AA283"/>
    <mergeCell ref="AB283:AD283"/>
    <mergeCell ref="AE283:AG283"/>
    <mergeCell ref="Q282:R282"/>
    <mergeCell ref="S282:V282"/>
    <mergeCell ref="X282:AA282"/>
    <mergeCell ref="AB282:AD282"/>
    <mergeCell ref="B282:D282"/>
    <mergeCell ref="E282:I282"/>
    <mergeCell ref="J282:M282"/>
    <mergeCell ref="N282:P282"/>
    <mergeCell ref="AE280:AG280"/>
    <mergeCell ref="B281:D281"/>
    <mergeCell ref="E281:I281"/>
    <mergeCell ref="J281:M281"/>
    <mergeCell ref="N281:P281"/>
    <mergeCell ref="Q281:R281"/>
    <mergeCell ref="S281:V281"/>
    <mergeCell ref="X281:AA281"/>
    <mergeCell ref="AB281:AD281"/>
    <mergeCell ref="AE281:AG281"/>
    <mergeCell ref="Q280:R280"/>
    <mergeCell ref="S280:V280"/>
    <mergeCell ref="X280:AA280"/>
    <mergeCell ref="AB280:AD280"/>
    <mergeCell ref="B280:D280"/>
    <mergeCell ref="E280:I280"/>
    <mergeCell ref="J280:M280"/>
    <mergeCell ref="N280:P280"/>
    <mergeCell ref="AE278:AG278"/>
    <mergeCell ref="B279:D279"/>
    <mergeCell ref="E279:I279"/>
    <mergeCell ref="J279:M279"/>
    <mergeCell ref="N279:P279"/>
    <mergeCell ref="Q279:R279"/>
    <mergeCell ref="S279:V279"/>
    <mergeCell ref="X279:AA279"/>
    <mergeCell ref="AB279:AD279"/>
    <mergeCell ref="AE279:AG279"/>
    <mergeCell ref="Q278:R278"/>
    <mergeCell ref="S278:V278"/>
    <mergeCell ref="X278:AA278"/>
    <mergeCell ref="AB278:AD278"/>
    <mergeCell ref="B278:D278"/>
    <mergeCell ref="E278:I278"/>
    <mergeCell ref="J278:M278"/>
    <mergeCell ref="N278:P278"/>
    <mergeCell ref="AE276:AG276"/>
    <mergeCell ref="B277:D277"/>
    <mergeCell ref="E277:I277"/>
    <mergeCell ref="J277:M277"/>
    <mergeCell ref="N277:P277"/>
    <mergeCell ref="Q277:R277"/>
    <mergeCell ref="S277:V277"/>
    <mergeCell ref="X277:AA277"/>
    <mergeCell ref="AB277:AD277"/>
    <mergeCell ref="AE277:AG277"/>
    <mergeCell ref="Q276:R276"/>
    <mergeCell ref="S276:V276"/>
    <mergeCell ref="X276:AA276"/>
    <mergeCell ref="AB276:AD276"/>
    <mergeCell ref="B276:D276"/>
    <mergeCell ref="E276:I276"/>
    <mergeCell ref="J276:M276"/>
    <mergeCell ref="N276:P276"/>
    <mergeCell ref="AE274:AG274"/>
    <mergeCell ref="B275:D275"/>
    <mergeCell ref="E275:I275"/>
    <mergeCell ref="J275:M275"/>
    <mergeCell ref="N275:P275"/>
    <mergeCell ref="Q275:R275"/>
    <mergeCell ref="S275:V275"/>
    <mergeCell ref="X275:AA275"/>
    <mergeCell ref="AB275:AD275"/>
    <mergeCell ref="AE275:AG275"/>
    <mergeCell ref="Q274:R274"/>
    <mergeCell ref="S274:V274"/>
    <mergeCell ref="X274:AA274"/>
    <mergeCell ref="AB274:AD274"/>
    <mergeCell ref="B274:D274"/>
    <mergeCell ref="E274:I274"/>
    <mergeCell ref="J274:M274"/>
    <mergeCell ref="N274:P274"/>
    <mergeCell ref="AE272:AG272"/>
    <mergeCell ref="B273:D273"/>
    <mergeCell ref="E273:I273"/>
    <mergeCell ref="J273:M273"/>
    <mergeCell ref="N273:P273"/>
    <mergeCell ref="Q273:R273"/>
    <mergeCell ref="S273:V273"/>
    <mergeCell ref="X273:AA273"/>
    <mergeCell ref="AB273:AD273"/>
    <mergeCell ref="AE273:AG273"/>
    <mergeCell ref="Q272:R272"/>
    <mergeCell ref="S272:V272"/>
    <mergeCell ref="X272:AA272"/>
    <mergeCell ref="AB272:AD272"/>
    <mergeCell ref="B272:D272"/>
    <mergeCell ref="E272:I272"/>
    <mergeCell ref="J272:M272"/>
    <mergeCell ref="N272:P272"/>
    <mergeCell ref="AE270:AG270"/>
    <mergeCell ref="B271:D271"/>
    <mergeCell ref="E271:I271"/>
    <mergeCell ref="J271:M271"/>
    <mergeCell ref="N271:P271"/>
    <mergeCell ref="Q271:R271"/>
    <mergeCell ref="S271:V271"/>
    <mergeCell ref="X271:AA271"/>
    <mergeCell ref="AB271:AD271"/>
    <mergeCell ref="AE271:AG271"/>
    <mergeCell ref="Q270:R270"/>
    <mergeCell ref="S270:V270"/>
    <mergeCell ref="X270:AA270"/>
    <mergeCell ref="AB270:AD270"/>
    <mergeCell ref="B270:D270"/>
    <mergeCell ref="E270:I270"/>
    <mergeCell ref="J270:M270"/>
    <mergeCell ref="N270:P270"/>
    <mergeCell ref="AE268:AG268"/>
    <mergeCell ref="B269:D269"/>
    <mergeCell ref="E269:I269"/>
    <mergeCell ref="J269:M269"/>
    <mergeCell ref="N269:P269"/>
    <mergeCell ref="Q269:R269"/>
    <mergeCell ref="S269:V269"/>
    <mergeCell ref="X269:AA269"/>
    <mergeCell ref="AB269:AD269"/>
    <mergeCell ref="AE269:AG269"/>
    <mergeCell ref="Q268:R268"/>
    <mergeCell ref="S268:V268"/>
    <mergeCell ref="X268:AA268"/>
    <mergeCell ref="AB268:AD268"/>
    <mergeCell ref="B268:D268"/>
    <mergeCell ref="E268:I268"/>
    <mergeCell ref="J268:M268"/>
    <mergeCell ref="N268:P268"/>
    <mergeCell ref="AE266:AG266"/>
    <mergeCell ref="B267:D267"/>
    <mergeCell ref="E267:I267"/>
    <mergeCell ref="J267:M267"/>
    <mergeCell ref="N267:P267"/>
    <mergeCell ref="Q267:R267"/>
    <mergeCell ref="S267:V267"/>
    <mergeCell ref="X267:AA267"/>
    <mergeCell ref="AB267:AD267"/>
    <mergeCell ref="AE267:AG267"/>
    <mergeCell ref="Q266:R266"/>
    <mergeCell ref="S266:V266"/>
    <mergeCell ref="X266:AA266"/>
    <mergeCell ref="AB266:AD266"/>
    <mergeCell ref="B266:D266"/>
    <mergeCell ref="E266:I266"/>
    <mergeCell ref="J266:M266"/>
    <mergeCell ref="N266:P266"/>
    <mergeCell ref="AE264:AG264"/>
    <mergeCell ref="B265:D265"/>
    <mergeCell ref="E265:I265"/>
    <mergeCell ref="J265:M265"/>
    <mergeCell ref="N265:P265"/>
    <mergeCell ref="Q265:R265"/>
    <mergeCell ref="S265:V265"/>
    <mergeCell ref="X265:AA265"/>
    <mergeCell ref="AB265:AD265"/>
    <mergeCell ref="AE265:AG265"/>
    <mergeCell ref="Q264:R264"/>
    <mergeCell ref="S264:V264"/>
    <mergeCell ref="X264:AA264"/>
    <mergeCell ref="AB264:AD264"/>
    <mergeCell ref="B264:D264"/>
    <mergeCell ref="E264:I264"/>
    <mergeCell ref="J264:M264"/>
    <mergeCell ref="N264:P264"/>
    <mergeCell ref="AE262:AG262"/>
    <mergeCell ref="B263:D263"/>
    <mergeCell ref="E263:I263"/>
    <mergeCell ref="J263:M263"/>
    <mergeCell ref="N263:P263"/>
    <mergeCell ref="Q263:R263"/>
    <mergeCell ref="S263:V263"/>
    <mergeCell ref="X263:AA263"/>
    <mergeCell ref="AB263:AD263"/>
    <mergeCell ref="AE263:AG263"/>
    <mergeCell ref="Q262:R262"/>
    <mergeCell ref="S262:V262"/>
    <mergeCell ref="X262:AA262"/>
    <mergeCell ref="AB262:AD262"/>
    <mergeCell ref="B262:D262"/>
    <mergeCell ref="E262:I262"/>
    <mergeCell ref="J262:M262"/>
    <mergeCell ref="N262:P262"/>
    <mergeCell ref="AE260:AG260"/>
    <mergeCell ref="B261:D261"/>
    <mergeCell ref="E261:I261"/>
    <mergeCell ref="J261:M261"/>
    <mergeCell ref="N261:P261"/>
    <mergeCell ref="Q261:R261"/>
    <mergeCell ref="S261:V261"/>
    <mergeCell ref="X261:AA261"/>
    <mergeCell ref="AB261:AD261"/>
    <mergeCell ref="AE261:AG261"/>
    <mergeCell ref="Q260:R260"/>
    <mergeCell ref="S260:V260"/>
    <mergeCell ref="X260:AA260"/>
    <mergeCell ref="AB260:AD260"/>
    <mergeCell ref="B260:D260"/>
    <mergeCell ref="E260:I260"/>
    <mergeCell ref="J260:M260"/>
    <mergeCell ref="N260:P260"/>
    <mergeCell ref="AE258:AG258"/>
    <mergeCell ref="B259:D259"/>
    <mergeCell ref="E259:I259"/>
    <mergeCell ref="J259:M259"/>
    <mergeCell ref="N259:P259"/>
    <mergeCell ref="Q259:R259"/>
    <mergeCell ref="S259:V259"/>
    <mergeCell ref="X259:AA259"/>
    <mergeCell ref="AB259:AD259"/>
    <mergeCell ref="AE259:AG259"/>
    <mergeCell ref="Q258:R258"/>
    <mergeCell ref="S258:V258"/>
    <mergeCell ref="X258:AA258"/>
    <mergeCell ref="AB258:AD258"/>
    <mergeCell ref="B258:D258"/>
    <mergeCell ref="E258:I258"/>
    <mergeCell ref="J258:M258"/>
    <mergeCell ref="N258:P258"/>
    <mergeCell ref="AE256:AG256"/>
    <mergeCell ref="B257:D257"/>
    <mergeCell ref="E257:I257"/>
    <mergeCell ref="J257:M257"/>
    <mergeCell ref="N257:P257"/>
    <mergeCell ref="Q257:R257"/>
    <mergeCell ref="S257:V257"/>
    <mergeCell ref="X257:AA257"/>
    <mergeCell ref="AB257:AD257"/>
    <mergeCell ref="AE257:AG257"/>
    <mergeCell ref="Q256:R256"/>
    <mergeCell ref="S256:V256"/>
    <mergeCell ref="X256:AA256"/>
    <mergeCell ref="AB256:AD256"/>
    <mergeCell ref="B256:D256"/>
    <mergeCell ref="E256:I256"/>
    <mergeCell ref="J256:M256"/>
    <mergeCell ref="N256:P256"/>
    <mergeCell ref="AE254:AG254"/>
    <mergeCell ref="B255:D255"/>
    <mergeCell ref="E255:I255"/>
    <mergeCell ref="J255:M255"/>
    <mergeCell ref="N255:P255"/>
    <mergeCell ref="Q255:R255"/>
    <mergeCell ref="S255:V255"/>
    <mergeCell ref="X255:AA255"/>
    <mergeCell ref="AB255:AD255"/>
    <mergeCell ref="AE255:AG255"/>
    <mergeCell ref="Q254:R254"/>
    <mergeCell ref="S254:V254"/>
    <mergeCell ref="X254:AA254"/>
    <mergeCell ref="AB254:AD254"/>
    <mergeCell ref="B254:D254"/>
    <mergeCell ref="E254:I254"/>
    <mergeCell ref="J254:M254"/>
    <mergeCell ref="N254:P254"/>
    <mergeCell ref="AE252:AG252"/>
    <mergeCell ref="B253:D253"/>
    <mergeCell ref="E253:I253"/>
    <mergeCell ref="J253:M253"/>
    <mergeCell ref="N253:P253"/>
    <mergeCell ref="Q253:R253"/>
    <mergeCell ref="S253:V253"/>
    <mergeCell ref="X253:AA253"/>
    <mergeCell ref="AB253:AD253"/>
    <mergeCell ref="AE253:AG253"/>
    <mergeCell ref="Q252:R252"/>
    <mergeCell ref="S252:V252"/>
    <mergeCell ref="X252:AA252"/>
    <mergeCell ref="AB252:AD252"/>
    <mergeCell ref="B252:D252"/>
    <mergeCell ref="E252:I252"/>
    <mergeCell ref="J252:M252"/>
    <mergeCell ref="N252:P252"/>
    <mergeCell ref="AE250:AG250"/>
    <mergeCell ref="B251:D251"/>
    <mergeCell ref="E251:I251"/>
    <mergeCell ref="J251:M251"/>
    <mergeCell ref="N251:P251"/>
    <mergeCell ref="Q251:R251"/>
    <mergeCell ref="S251:V251"/>
    <mergeCell ref="X251:AA251"/>
    <mergeCell ref="AB251:AD251"/>
    <mergeCell ref="AE251:AG251"/>
    <mergeCell ref="Q250:R250"/>
    <mergeCell ref="S250:V250"/>
    <mergeCell ref="X250:AA250"/>
    <mergeCell ref="AB250:AD250"/>
    <mergeCell ref="B250:D250"/>
    <mergeCell ref="E250:I250"/>
    <mergeCell ref="J250:M250"/>
    <mergeCell ref="N250:P250"/>
    <mergeCell ref="AE248:AG248"/>
    <mergeCell ref="B249:D249"/>
    <mergeCell ref="E249:I249"/>
    <mergeCell ref="J249:M249"/>
    <mergeCell ref="N249:P249"/>
    <mergeCell ref="Q249:R249"/>
    <mergeCell ref="S249:V249"/>
    <mergeCell ref="X249:AA249"/>
    <mergeCell ref="AB249:AD249"/>
    <mergeCell ref="AE249:AG249"/>
    <mergeCell ref="Q248:R248"/>
    <mergeCell ref="S248:V248"/>
    <mergeCell ref="X248:AA248"/>
    <mergeCell ref="AB248:AD248"/>
    <mergeCell ref="B248:D248"/>
    <mergeCell ref="E248:I248"/>
    <mergeCell ref="J248:M248"/>
    <mergeCell ref="N248:P248"/>
    <mergeCell ref="AE246:AG246"/>
    <mergeCell ref="B247:D247"/>
    <mergeCell ref="E247:I247"/>
    <mergeCell ref="J247:M247"/>
    <mergeCell ref="N247:P247"/>
    <mergeCell ref="Q247:R247"/>
    <mergeCell ref="S247:V247"/>
    <mergeCell ref="X247:AA247"/>
    <mergeCell ref="AB247:AD247"/>
    <mergeCell ref="AE247:AG247"/>
    <mergeCell ref="Q246:R246"/>
    <mergeCell ref="S246:V246"/>
    <mergeCell ref="X246:AA246"/>
    <mergeCell ref="AB246:AD246"/>
    <mergeCell ref="B246:D246"/>
    <mergeCell ref="E246:I246"/>
    <mergeCell ref="J246:M246"/>
    <mergeCell ref="N246:P246"/>
    <mergeCell ref="AE244:AG244"/>
    <mergeCell ref="B245:D245"/>
    <mergeCell ref="E245:I245"/>
    <mergeCell ref="J245:M245"/>
    <mergeCell ref="N245:P245"/>
    <mergeCell ref="Q245:R245"/>
    <mergeCell ref="S245:V245"/>
    <mergeCell ref="X245:AA245"/>
    <mergeCell ref="AB245:AD245"/>
    <mergeCell ref="AE245:AG245"/>
    <mergeCell ref="Q244:R244"/>
    <mergeCell ref="S244:V244"/>
    <mergeCell ref="X244:AA244"/>
    <mergeCell ref="AB244:AD244"/>
    <mergeCell ref="B244:D244"/>
    <mergeCell ref="E244:I244"/>
    <mergeCell ref="J244:M244"/>
    <mergeCell ref="N244:P244"/>
    <mergeCell ref="AE242:AG242"/>
    <mergeCell ref="B243:D243"/>
    <mergeCell ref="E243:I243"/>
    <mergeCell ref="J243:M243"/>
    <mergeCell ref="N243:P243"/>
    <mergeCell ref="Q243:R243"/>
    <mergeCell ref="S243:V243"/>
    <mergeCell ref="X243:AA243"/>
    <mergeCell ref="AB243:AD243"/>
    <mergeCell ref="AE243:AG243"/>
    <mergeCell ref="Q242:R242"/>
    <mergeCell ref="S242:V242"/>
    <mergeCell ref="X242:AA242"/>
    <mergeCell ref="AB242:AD242"/>
    <mergeCell ref="B242:D242"/>
    <mergeCell ref="E242:I242"/>
    <mergeCell ref="J242:M242"/>
    <mergeCell ref="N242:P242"/>
    <mergeCell ref="AE240:AG240"/>
    <mergeCell ref="B241:D241"/>
    <mergeCell ref="E241:I241"/>
    <mergeCell ref="J241:M241"/>
    <mergeCell ref="N241:P241"/>
    <mergeCell ref="Q241:R241"/>
    <mergeCell ref="S241:V241"/>
    <mergeCell ref="X241:AA241"/>
    <mergeCell ref="AB241:AD241"/>
    <mergeCell ref="AE241:AG241"/>
    <mergeCell ref="Q240:R240"/>
    <mergeCell ref="S240:V240"/>
    <mergeCell ref="X240:AA240"/>
    <mergeCell ref="AB240:AD240"/>
    <mergeCell ref="B240:D240"/>
    <mergeCell ref="E240:I240"/>
    <mergeCell ref="J240:M240"/>
    <mergeCell ref="N240:P240"/>
    <mergeCell ref="AE238:AG238"/>
    <mergeCell ref="B239:D239"/>
    <mergeCell ref="E239:I239"/>
    <mergeCell ref="J239:M239"/>
    <mergeCell ref="N239:P239"/>
    <mergeCell ref="Q239:R239"/>
    <mergeCell ref="S239:V239"/>
    <mergeCell ref="X239:AA239"/>
    <mergeCell ref="AB239:AD239"/>
    <mergeCell ref="AE239:AG239"/>
    <mergeCell ref="Q238:R238"/>
    <mergeCell ref="S238:V238"/>
    <mergeCell ref="X238:AA238"/>
    <mergeCell ref="AB238:AD238"/>
    <mergeCell ref="B238:D238"/>
    <mergeCell ref="E238:I238"/>
    <mergeCell ref="J238:M238"/>
    <mergeCell ref="N238:P238"/>
    <mergeCell ref="AE236:AG236"/>
    <mergeCell ref="B237:D237"/>
    <mergeCell ref="E237:I237"/>
    <mergeCell ref="J237:M237"/>
    <mergeCell ref="N237:P237"/>
    <mergeCell ref="Q237:R237"/>
    <mergeCell ref="S237:V237"/>
    <mergeCell ref="X237:AA237"/>
    <mergeCell ref="AB237:AD237"/>
    <mergeCell ref="AE237:AG237"/>
    <mergeCell ref="Q236:R236"/>
    <mergeCell ref="S236:V236"/>
    <mergeCell ref="X236:AA236"/>
    <mergeCell ref="AB236:AD236"/>
    <mergeCell ref="B236:D236"/>
    <mergeCell ref="E236:I236"/>
    <mergeCell ref="J236:M236"/>
    <mergeCell ref="N236:P236"/>
    <mergeCell ref="AE234:AG234"/>
    <mergeCell ref="B235:D235"/>
    <mergeCell ref="E235:I235"/>
    <mergeCell ref="J235:M235"/>
    <mergeCell ref="N235:P235"/>
    <mergeCell ref="Q235:R235"/>
    <mergeCell ref="S235:V235"/>
    <mergeCell ref="X235:AA235"/>
    <mergeCell ref="AB235:AD235"/>
    <mergeCell ref="AE235:AG235"/>
    <mergeCell ref="Q234:R234"/>
    <mergeCell ref="S234:V234"/>
    <mergeCell ref="X234:AA234"/>
    <mergeCell ref="AB234:AD234"/>
    <mergeCell ref="B234:D234"/>
    <mergeCell ref="E234:I234"/>
    <mergeCell ref="J234:M234"/>
    <mergeCell ref="N234:P234"/>
    <mergeCell ref="AE232:AG232"/>
    <mergeCell ref="B233:D233"/>
    <mergeCell ref="E233:I233"/>
    <mergeCell ref="J233:M233"/>
    <mergeCell ref="N233:P233"/>
    <mergeCell ref="Q233:R233"/>
    <mergeCell ref="S233:V233"/>
    <mergeCell ref="X233:AA233"/>
    <mergeCell ref="AB233:AD233"/>
    <mergeCell ref="AE233:AG233"/>
    <mergeCell ref="Q232:R232"/>
    <mergeCell ref="S232:V232"/>
    <mergeCell ref="X232:AA232"/>
    <mergeCell ref="AB232:AD232"/>
    <mergeCell ref="B232:D232"/>
    <mergeCell ref="E232:I232"/>
    <mergeCell ref="J232:M232"/>
    <mergeCell ref="N232:P232"/>
    <mergeCell ref="AE230:AG230"/>
    <mergeCell ref="B231:D231"/>
    <mergeCell ref="E231:I231"/>
    <mergeCell ref="J231:M231"/>
    <mergeCell ref="N231:P231"/>
    <mergeCell ref="Q231:R231"/>
    <mergeCell ref="S231:V231"/>
    <mergeCell ref="X231:AA231"/>
    <mergeCell ref="AB231:AD231"/>
    <mergeCell ref="AE231:AG231"/>
    <mergeCell ref="Q230:R230"/>
    <mergeCell ref="S230:V230"/>
    <mergeCell ref="X230:AA230"/>
    <mergeCell ref="AB230:AD230"/>
    <mergeCell ref="B230:D230"/>
    <mergeCell ref="E230:I230"/>
    <mergeCell ref="J230:M230"/>
    <mergeCell ref="N230:P230"/>
    <mergeCell ref="AE228:AG228"/>
    <mergeCell ref="B229:D229"/>
    <mergeCell ref="E229:I229"/>
    <mergeCell ref="J229:M229"/>
    <mergeCell ref="N229:P229"/>
    <mergeCell ref="Q229:R229"/>
    <mergeCell ref="S229:V229"/>
    <mergeCell ref="X229:AA229"/>
    <mergeCell ref="AB229:AD229"/>
    <mergeCell ref="AE229:AG229"/>
    <mergeCell ref="Q228:R228"/>
    <mergeCell ref="S228:V228"/>
    <mergeCell ref="X228:AA228"/>
    <mergeCell ref="AB228:AD228"/>
    <mergeCell ref="B228:D228"/>
    <mergeCell ref="E228:I228"/>
    <mergeCell ref="J228:M228"/>
    <mergeCell ref="N228:P228"/>
    <mergeCell ref="AE226:AG226"/>
    <mergeCell ref="B227:D227"/>
    <mergeCell ref="E227:I227"/>
    <mergeCell ref="J227:M227"/>
    <mergeCell ref="N227:P227"/>
    <mergeCell ref="Q227:R227"/>
    <mergeCell ref="S227:V227"/>
    <mergeCell ref="X227:AA227"/>
    <mergeCell ref="AB227:AD227"/>
    <mergeCell ref="AE227:AG227"/>
    <mergeCell ref="Q226:R226"/>
    <mergeCell ref="S226:V226"/>
    <mergeCell ref="X226:AA226"/>
    <mergeCell ref="AB226:AD226"/>
    <mergeCell ref="B226:D226"/>
    <mergeCell ref="E226:I226"/>
    <mergeCell ref="J226:M226"/>
    <mergeCell ref="N226:P226"/>
    <mergeCell ref="AE224:AG224"/>
    <mergeCell ref="B225:D225"/>
    <mergeCell ref="E225:I225"/>
    <mergeCell ref="J225:M225"/>
    <mergeCell ref="N225:P225"/>
    <mergeCell ref="Q225:R225"/>
    <mergeCell ref="S225:V225"/>
    <mergeCell ref="X225:AA225"/>
    <mergeCell ref="AB225:AD225"/>
    <mergeCell ref="AE225:AG225"/>
    <mergeCell ref="Q224:R224"/>
    <mergeCell ref="S224:V224"/>
    <mergeCell ref="X224:AA224"/>
    <mergeCell ref="AB224:AD224"/>
    <mergeCell ref="B224:D224"/>
    <mergeCell ref="E224:I224"/>
    <mergeCell ref="J224:M224"/>
    <mergeCell ref="N224:P224"/>
    <mergeCell ref="AE222:AG222"/>
    <mergeCell ref="B223:D223"/>
    <mergeCell ref="E223:I223"/>
    <mergeCell ref="J223:M223"/>
    <mergeCell ref="N223:P223"/>
    <mergeCell ref="Q223:R223"/>
    <mergeCell ref="S223:V223"/>
    <mergeCell ref="X223:AA223"/>
    <mergeCell ref="AB223:AD223"/>
    <mergeCell ref="AE223:AG223"/>
    <mergeCell ref="Q222:R222"/>
    <mergeCell ref="S222:V222"/>
    <mergeCell ref="X222:AA222"/>
    <mergeCell ref="AB222:AD222"/>
    <mergeCell ref="B222:D222"/>
    <mergeCell ref="E222:I222"/>
    <mergeCell ref="J222:M222"/>
    <mergeCell ref="N222:P222"/>
    <mergeCell ref="AE220:AG220"/>
    <mergeCell ref="B221:D221"/>
    <mergeCell ref="E221:I221"/>
    <mergeCell ref="J221:M221"/>
    <mergeCell ref="N221:P221"/>
    <mergeCell ref="Q221:R221"/>
    <mergeCell ref="S221:V221"/>
    <mergeCell ref="X221:AA221"/>
    <mergeCell ref="AB221:AD221"/>
    <mergeCell ref="AE221:AG221"/>
    <mergeCell ref="Q220:R220"/>
    <mergeCell ref="S220:V220"/>
    <mergeCell ref="X220:AA220"/>
    <mergeCell ref="AB220:AD220"/>
    <mergeCell ref="B220:D220"/>
    <mergeCell ref="E220:I220"/>
    <mergeCell ref="J220:M220"/>
    <mergeCell ref="N220:P220"/>
    <mergeCell ref="AE218:AG218"/>
    <mergeCell ref="B219:D219"/>
    <mergeCell ref="E219:I219"/>
    <mergeCell ref="J219:M219"/>
    <mergeCell ref="N219:P219"/>
    <mergeCell ref="Q219:R219"/>
    <mergeCell ref="S219:V219"/>
    <mergeCell ref="X219:AA219"/>
    <mergeCell ref="AB219:AD219"/>
    <mergeCell ref="AE219:AG219"/>
    <mergeCell ref="Q218:R218"/>
    <mergeCell ref="S218:V218"/>
    <mergeCell ref="X218:AA218"/>
    <mergeCell ref="AB218:AD218"/>
    <mergeCell ref="B218:D218"/>
    <mergeCell ref="E218:I218"/>
    <mergeCell ref="J218:M218"/>
    <mergeCell ref="N218:P218"/>
    <mergeCell ref="AE216:AG216"/>
    <mergeCell ref="B217:D217"/>
    <mergeCell ref="E217:I217"/>
    <mergeCell ref="J217:M217"/>
    <mergeCell ref="N217:P217"/>
    <mergeCell ref="Q217:R217"/>
    <mergeCell ref="S217:V217"/>
    <mergeCell ref="X217:AA217"/>
    <mergeCell ref="AB217:AD217"/>
    <mergeCell ref="AE217:AG217"/>
    <mergeCell ref="Q216:R216"/>
    <mergeCell ref="S216:V216"/>
    <mergeCell ref="X216:AA216"/>
    <mergeCell ref="AB216:AD216"/>
    <mergeCell ref="B216:D216"/>
    <mergeCell ref="E216:I216"/>
    <mergeCell ref="J216:M216"/>
    <mergeCell ref="N216:P216"/>
    <mergeCell ref="AE214:AG214"/>
    <mergeCell ref="B215:D215"/>
    <mergeCell ref="E215:I215"/>
    <mergeCell ref="J215:M215"/>
    <mergeCell ref="N215:P215"/>
    <mergeCell ref="Q215:R215"/>
    <mergeCell ref="S215:V215"/>
    <mergeCell ref="X215:AA215"/>
    <mergeCell ref="AB215:AD215"/>
    <mergeCell ref="AE215:AG215"/>
    <mergeCell ref="Q214:R214"/>
    <mergeCell ref="S214:V214"/>
    <mergeCell ref="X214:AA214"/>
    <mergeCell ref="AB214:AD214"/>
    <mergeCell ref="B214:D214"/>
    <mergeCell ref="E214:I214"/>
    <mergeCell ref="J214:M214"/>
    <mergeCell ref="N214:P214"/>
    <mergeCell ref="AE212:AG212"/>
    <mergeCell ref="B213:D213"/>
    <mergeCell ref="E213:I213"/>
    <mergeCell ref="J213:M213"/>
    <mergeCell ref="N213:P213"/>
    <mergeCell ref="Q213:R213"/>
    <mergeCell ref="S213:V213"/>
    <mergeCell ref="X213:AA213"/>
    <mergeCell ref="AB213:AD213"/>
    <mergeCell ref="AE213:AG213"/>
    <mergeCell ref="Q212:R212"/>
    <mergeCell ref="S212:V212"/>
    <mergeCell ref="X212:AA212"/>
    <mergeCell ref="AB212:AD212"/>
    <mergeCell ref="B212:D212"/>
    <mergeCell ref="E212:I212"/>
    <mergeCell ref="J212:M212"/>
    <mergeCell ref="N212:P212"/>
    <mergeCell ref="AE210:AG210"/>
    <mergeCell ref="B211:D211"/>
    <mergeCell ref="E211:I211"/>
    <mergeCell ref="J211:M211"/>
    <mergeCell ref="N211:P211"/>
    <mergeCell ref="Q211:R211"/>
    <mergeCell ref="S211:V211"/>
    <mergeCell ref="X211:AA211"/>
    <mergeCell ref="AB211:AD211"/>
    <mergeCell ref="AE211:AG211"/>
    <mergeCell ref="Q210:R210"/>
    <mergeCell ref="S210:V210"/>
    <mergeCell ref="X210:AA210"/>
    <mergeCell ref="AB210:AD210"/>
    <mergeCell ref="B210:D210"/>
    <mergeCell ref="E210:I210"/>
    <mergeCell ref="J210:M210"/>
    <mergeCell ref="N210:P210"/>
    <mergeCell ref="AE208:AG208"/>
    <mergeCell ref="B209:D209"/>
    <mergeCell ref="E209:I209"/>
    <mergeCell ref="J209:M209"/>
    <mergeCell ref="N209:P209"/>
    <mergeCell ref="Q209:R209"/>
    <mergeCell ref="S209:V209"/>
    <mergeCell ref="X209:AA209"/>
    <mergeCell ref="AB209:AD209"/>
    <mergeCell ref="AE209:AG209"/>
    <mergeCell ref="Q208:R208"/>
    <mergeCell ref="S208:V208"/>
    <mergeCell ref="X208:AA208"/>
    <mergeCell ref="AB208:AD208"/>
    <mergeCell ref="B208:D208"/>
    <mergeCell ref="E208:I208"/>
    <mergeCell ref="J208:M208"/>
    <mergeCell ref="N208:P208"/>
    <mergeCell ref="AE206:AG206"/>
    <mergeCell ref="B207:D207"/>
    <mergeCell ref="E207:I207"/>
    <mergeCell ref="J207:M207"/>
    <mergeCell ref="N207:P207"/>
    <mergeCell ref="Q207:R207"/>
    <mergeCell ref="S207:V207"/>
    <mergeCell ref="X207:AA207"/>
    <mergeCell ref="AB207:AD207"/>
    <mergeCell ref="AE207:AG207"/>
    <mergeCell ref="Q206:R206"/>
    <mergeCell ref="S206:V206"/>
    <mergeCell ref="X206:AA206"/>
    <mergeCell ref="AB206:AD206"/>
    <mergeCell ref="B206:D206"/>
    <mergeCell ref="E206:I206"/>
    <mergeCell ref="J206:M206"/>
    <mergeCell ref="N206:P206"/>
    <mergeCell ref="AE204:AG204"/>
    <mergeCell ref="B205:D205"/>
    <mergeCell ref="E205:I205"/>
    <mergeCell ref="J205:M205"/>
    <mergeCell ref="N205:P205"/>
    <mergeCell ref="Q205:R205"/>
    <mergeCell ref="S205:V205"/>
    <mergeCell ref="X205:AA205"/>
    <mergeCell ref="AB205:AD205"/>
    <mergeCell ref="AE205:AG205"/>
    <mergeCell ref="Q204:R204"/>
    <mergeCell ref="S204:V204"/>
    <mergeCell ref="X204:AA204"/>
    <mergeCell ref="AB204:AD204"/>
    <mergeCell ref="B204:D204"/>
    <mergeCell ref="E204:I204"/>
    <mergeCell ref="J204:M204"/>
    <mergeCell ref="N204:P204"/>
    <mergeCell ref="AE202:AG202"/>
    <mergeCell ref="B203:D203"/>
    <mergeCell ref="E203:I203"/>
    <mergeCell ref="J203:M203"/>
    <mergeCell ref="N203:P203"/>
    <mergeCell ref="Q203:R203"/>
    <mergeCell ref="S203:V203"/>
    <mergeCell ref="X203:AA203"/>
    <mergeCell ref="AB203:AD203"/>
    <mergeCell ref="AE203:AG203"/>
    <mergeCell ref="Q202:R202"/>
    <mergeCell ref="S202:V202"/>
    <mergeCell ref="X202:AA202"/>
    <mergeCell ref="AB202:AD202"/>
    <mergeCell ref="B202:D202"/>
    <mergeCell ref="E202:I202"/>
    <mergeCell ref="J202:M202"/>
    <mergeCell ref="N202:P202"/>
    <mergeCell ref="AE200:AG200"/>
    <mergeCell ref="B201:D201"/>
    <mergeCell ref="E201:I201"/>
    <mergeCell ref="J201:M201"/>
    <mergeCell ref="N201:P201"/>
    <mergeCell ref="Q201:R201"/>
    <mergeCell ref="S201:V201"/>
    <mergeCell ref="X201:AA201"/>
    <mergeCell ref="AB201:AD201"/>
    <mergeCell ref="AE201:AG201"/>
    <mergeCell ref="Q200:R200"/>
    <mergeCell ref="S200:V200"/>
    <mergeCell ref="X200:AA200"/>
    <mergeCell ref="AB200:AD200"/>
    <mergeCell ref="B200:D200"/>
    <mergeCell ref="E200:I200"/>
    <mergeCell ref="J200:M200"/>
    <mergeCell ref="N200:P200"/>
    <mergeCell ref="AE198:AG198"/>
    <mergeCell ref="B199:D199"/>
    <mergeCell ref="E199:I199"/>
    <mergeCell ref="J199:M199"/>
    <mergeCell ref="N199:P199"/>
    <mergeCell ref="Q199:R199"/>
    <mergeCell ref="S199:V199"/>
    <mergeCell ref="X199:AA199"/>
    <mergeCell ref="AB199:AD199"/>
    <mergeCell ref="AE199:AG199"/>
    <mergeCell ref="Q198:R198"/>
    <mergeCell ref="S198:V198"/>
    <mergeCell ref="X198:AA198"/>
    <mergeCell ref="AB198:AD198"/>
    <mergeCell ref="B198:D198"/>
    <mergeCell ref="E198:I198"/>
    <mergeCell ref="J198:M198"/>
    <mergeCell ref="N198:P198"/>
    <mergeCell ref="AE196:AG196"/>
    <mergeCell ref="B197:D197"/>
    <mergeCell ref="E197:I197"/>
    <mergeCell ref="J197:M197"/>
    <mergeCell ref="N197:P197"/>
    <mergeCell ref="Q197:R197"/>
    <mergeCell ref="S197:V197"/>
    <mergeCell ref="X197:AA197"/>
    <mergeCell ref="AB197:AD197"/>
    <mergeCell ref="AE197:AG197"/>
    <mergeCell ref="Q196:R196"/>
    <mergeCell ref="S196:V196"/>
    <mergeCell ref="X196:AA196"/>
    <mergeCell ref="AB196:AD196"/>
    <mergeCell ref="B196:D196"/>
    <mergeCell ref="E196:I196"/>
    <mergeCell ref="J196:M196"/>
    <mergeCell ref="N196:P196"/>
    <mergeCell ref="AE194:AG194"/>
    <mergeCell ref="B195:D195"/>
    <mergeCell ref="E195:I195"/>
    <mergeCell ref="J195:M195"/>
    <mergeCell ref="N195:P195"/>
    <mergeCell ref="Q195:R195"/>
    <mergeCell ref="S195:V195"/>
    <mergeCell ref="X195:AA195"/>
    <mergeCell ref="AB195:AD195"/>
    <mergeCell ref="AE195:AG195"/>
    <mergeCell ref="Q194:R194"/>
    <mergeCell ref="S194:V194"/>
    <mergeCell ref="X194:AA194"/>
    <mergeCell ref="AB194:AD194"/>
    <mergeCell ref="B194:D194"/>
    <mergeCell ref="E194:I194"/>
    <mergeCell ref="J194:M194"/>
    <mergeCell ref="N194:P194"/>
    <mergeCell ref="AE192:AG192"/>
    <mergeCell ref="B193:D193"/>
    <mergeCell ref="E193:I193"/>
    <mergeCell ref="J193:M193"/>
    <mergeCell ref="N193:P193"/>
    <mergeCell ref="Q193:R193"/>
    <mergeCell ref="S193:V193"/>
    <mergeCell ref="X193:AA193"/>
    <mergeCell ref="AB193:AD193"/>
    <mergeCell ref="AE193:AG193"/>
    <mergeCell ref="Q192:R192"/>
    <mergeCell ref="S192:V192"/>
    <mergeCell ref="X192:AA192"/>
    <mergeCell ref="AB192:AD192"/>
    <mergeCell ref="B192:D192"/>
    <mergeCell ref="E192:I192"/>
    <mergeCell ref="J192:M192"/>
    <mergeCell ref="N192:P192"/>
    <mergeCell ref="AE190:AG190"/>
    <mergeCell ref="B191:D191"/>
    <mergeCell ref="E191:I191"/>
    <mergeCell ref="J191:M191"/>
    <mergeCell ref="N191:P191"/>
    <mergeCell ref="Q191:R191"/>
    <mergeCell ref="S191:V191"/>
    <mergeCell ref="X191:AA191"/>
    <mergeCell ref="AB191:AD191"/>
    <mergeCell ref="AE191:AG191"/>
    <mergeCell ref="Q190:R190"/>
    <mergeCell ref="S190:V190"/>
    <mergeCell ref="X190:AA190"/>
    <mergeCell ref="AB190:AD190"/>
    <mergeCell ref="B190:D190"/>
    <mergeCell ref="E190:I190"/>
    <mergeCell ref="J190:M190"/>
    <mergeCell ref="N190:P190"/>
    <mergeCell ref="AE188:AG188"/>
    <mergeCell ref="B189:D189"/>
    <mergeCell ref="E189:I189"/>
    <mergeCell ref="J189:M189"/>
    <mergeCell ref="N189:P189"/>
    <mergeCell ref="Q189:R189"/>
    <mergeCell ref="S189:V189"/>
    <mergeCell ref="X189:AA189"/>
    <mergeCell ref="AB189:AD189"/>
    <mergeCell ref="AE189:AG189"/>
    <mergeCell ref="Q188:R188"/>
    <mergeCell ref="S188:V188"/>
    <mergeCell ref="X188:AA188"/>
    <mergeCell ref="AB188:AD188"/>
    <mergeCell ref="B188:D188"/>
    <mergeCell ref="E188:I188"/>
    <mergeCell ref="J188:M188"/>
    <mergeCell ref="N188:P188"/>
    <mergeCell ref="AE186:AG186"/>
    <mergeCell ref="B187:D187"/>
    <mergeCell ref="E187:I187"/>
    <mergeCell ref="J187:M187"/>
    <mergeCell ref="N187:P187"/>
    <mergeCell ref="Q187:R187"/>
    <mergeCell ref="S187:V187"/>
    <mergeCell ref="X187:AA187"/>
    <mergeCell ref="AB187:AD187"/>
    <mergeCell ref="AE187:AG187"/>
    <mergeCell ref="Q186:R186"/>
    <mergeCell ref="S186:V186"/>
    <mergeCell ref="X186:AA186"/>
    <mergeCell ref="AB186:AD186"/>
    <mergeCell ref="B186:D186"/>
    <mergeCell ref="E186:I186"/>
    <mergeCell ref="J186:M186"/>
    <mergeCell ref="N186:P186"/>
    <mergeCell ref="AE184:AG184"/>
    <mergeCell ref="B185:D185"/>
    <mergeCell ref="E185:I185"/>
    <mergeCell ref="J185:M185"/>
    <mergeCell ref="N185:P185"/>
    <mergeCell ref="Q185:R185"/>
    <mergeCell ref="S185:V185"/>
    <mergeCell ref="X185:AA185"/>
    <mergeCell ref="AB185:AD185"/>
    <mergeCell ref="AE185:AG185"/>
    <mergeCell ref="Q184:R184"/>
    <mergeCell ref="S184:V184"/>
    <mergeCell ref="X184:AA184"/>
    <mergeCell ref="AB184:AD184"/>
    <mergeCell ref="B184:D184"/>
    <mergeCell ref="E184:I184"/>
    <mergeCell ref="J184:M184"/>
    <mergeCell ref="N184:P184"/>
    <mergeCell ref="AE182:AG182"/>
    <mergeCell ref="B183:D183"/>
    <mergeCell ref="E183:I183"/>
    <mergeCell ref="J183:M183"/>
    <mergeCell ref="N183:P183"/>
    <mergeCell ref="Q183:R183"/>
    <mergeCell ref="S183:V183"/>
    <mergeCell ref="X183:AA183"/>
    <mergeCell ref="AB183:AD183"/>
    <mergeCell ref="AE183:AG183"/>
    <mergeCell ref="Q182:R182"/>
    <mergeCell ref="S182:V182"/>
    <mergeCell ref="X182:AA182"/>
    <mergeCell ref="AB182:AD182"/>
    <mergeCell ref="B182:D182"/>
    <mergeCell ref="E182:I182"/>
    <mergeCell ref="J182:M182"/>
    <mergeCell ref="N182:P182"/>
    <mergeCell ref="AE180:AG180"/>
    <mergeCell ref="B181:D181"/>
    <mergeCell ref="E181:I181"/>
    <mergeCell ref="J181:M181"/>
    <mergeCell ref="N181:P181"/>
    <mergeCell ref="Q181:R181"/>
    <mergeCell ref="S181:V181"/>
    <mergeCell ref="X181:AA181"/>
    <mergeCell ref="AB181:AD181"/>
    <mergeCell ref="AE181:AG181"/>
    <mergeCell ref="Q180:R180"/>
    <mergeCell ref="S180:V180"/>
    <mergeCell ref="X180:AA180"/>
    <mergeCell ref="AB180:AD180"/>
    <mergeCell ref="B180:D180"/>
    <mergeCell ref="E180:I180"/>
    <mergeCell ref="J180:M180"/>
    <mergeCell ref="N180:P180"/>
    <mergeCell ref="AE178:AG178"/>
    <mergeCell ref="B179:D179"/>
    <mergeCell ref="E179:I179"/>
    <mergeCell ref="J179:M179"/>
    <mergeCell ref="N179:P179"/>
    <mergeCell ref="Q179:R179"/>
    <mergeCell ref="S179:V179"/>
    <mergeCell ref="X179:AA179"/>
    <mergeCell ref="AB179:AD179"/>
    <mergeCell ref="AE179:AG179"/>
    <mergeCell ref="Q178:R178"/>
    <mergeCell ref="S178:V178"/>
    <mergeCell ref="X178:AA178"/>
    <mergeCell ref="AB178:AD178"/>
    <mergeCell ref="B178:D178"/>
    <mergeCell ref="E178:I178"/>
    <mergeCell ref="J178:M178"/>
    <mergeCell ref="N178:P178"/>
    <mergeCell ref="AE176:AG176"/>
    <mergeCell ref="B177:D177"/>
    <mergeCell ref="E177:I177"/>
    <mergeCell ref="J177:M177"/>
    <mergeCell ref="N177:P177"/>
    <mergeCell ref="Q177:R177"/>
    <mergeCell ref="S177:V177"/>
    <mergeCell ref="X177:AA177"/>
    <mergeCell ref="AB177:AD177"/>
    <mergeCell ref="AE177:AG177"/>
    <mergeCell ref="Q176:R176"/>
    <mergeCell ref="S176:V176"/>
    <mergeCell ref="X176:AA176"/>
    <mergeCell ref="AB176:AD176"/>
    <mergeCell ref="B176:D176"/>
    <mergeCell ref="E176:I176"/>
    <mergeCell ref="J176:M176"/>
    <mergeCell ref="N176:P176"/>
    <mergeCell ref="AE174:AG174"/>
    <mergeCell ref="B175:D175"/>
    <mergeCell ref="E175:I175"/>
    <mergeCell ref="J175:M175"/>
    <mergeCell ref="N175:P175"/>
    <mergeCell ref="Q175:R175"/>
    <mergeCell ref="S175:V175"/>
    <mergeCell ref="X175:AA175"/>
    <mergeCell ref="AB175:AD175"/>
    <mergeCell ref="AE175:AG175"/>
    <mergeCell ref="Q174:R174"/>
    <mergeCell ref="S174:V174"/>
    <mergeCell ref="X174:AA174"/>
    <mergeCell ref="AB174:AD174"/>
    <mergeCell ref="B174:D174"/>
    <mergeCell ref="E174:I174"/>
    <mergeCell ref="J174:M174"/>
    <mergeCell ref="N174:P174"/>
    <mergeCell ref="AE172:AG172"/>
    <mergeCell ref="B173:D173"/>
    <mergeCell ref="E173:I173"/>
    <mergeCell ref="J173:M173"/>
    <mergeCell ref="N173:P173"/>
    <mergeCell ref="Q173:R173"/>
    <mergeCell ref="S173:V173"/>
    <mergeCell ref="X173:AA173"/>
    <mergeCell ref="AB173:AD173"/>
    <mergeCell ref="AE173:AG173"/>
    <mergeCell ref="Q172:R172"/>
    <mergeCell ref="S172:V172"/>
    <mergeCell ref="X172:AA172"/>
    <mergeCell ref="AB172:AD172"/>
    <mergeCell ref="B172:D172"/>
    <mergeCell ref="E172:I172"/>
    <mergeCell ref="J172:M172"/>
    <mergeCell ref="N172:P172"/>
    <mergeCell ref="AE170:AG170"/>
    <mergeCell ref="B171:D171"/>
    <mergeCell ref="E171:I171"/>
    <mergeCell ref="J171:M171"/>
    <mergeCell ref="N171:P171"/>
    <mergeCell ref="Q171:R171"/>
    <mergeCell ref="S171:V171"/>
    <mergeCell ref="X171:AA171"/>
    <mergeCell ref="AB171:AD171"/>
    <mergeCell ref="AE171:AG171"/>
    <mergeCell ref="Q170:R170"/>
    <mergeCell ref="S170:V170"/>
    <mergeCell ref="X170:AA170"/>
    <mergeCell ref="AB170:AD170"/>
    <mergeCell ref="B170:D170"/>
    <mergeCell ref="E170:I170"/>
    <mergeCell ref="J170:M170"/>
    <mergeCell ref="N170:P170"/>
    <mergeCell ref="AE168:AG168"/>
    <mergeCell ref="B169:D169"/>
    <mergeCell ref="E169:I169"/>
    <mergeCell ref="J169:M169"/>
    <mergeCell ref="N169:P169"/>
    <mergeCell ref="Q169:R169"/>
    <mergeCell ref="S169:V169"/>
    <mergeCell ref="X169:AA169"/>
    <mergeCell ref="AB169:AD169"/>
    <mergeCell ref="AE169:AG169"/>
    <mergeCell ref="Q168:R168"/>
    <mergeCell ref="S168:V168"/>
    <mergeCell ref="X168:AA168"/>
    <mergeCell ref="AB168:AD168"/>
    <mergeCell ref="B168:D168"/>
    <mergeCell ref="E168:I168"/>
    <mergeCell ref="J168:M168"/>
    <mergeCell ref="N168:P168"/>
    <mergeCell ref="AE166:AG166"/>
    <mergeCell ref="B167:D167"/>
    <mergeCell ref="E167:I167"/>
    <mergeCell ref="J167:M167"/>
    <mergeCell ref="N167:P167"/>
    <mergeCell ref="Q167:R167"/>
    <mergeCell ref="S167:V167"/>
    <mergeCell ref="X167:AA167"/>
    <mergeCell ref="AB167:AD167"/>
    <mergeCell ref="AE167:AG167"/>
    <mergeCell ref="Q166:R166"/>
    <mergeCell ref="S166:V166"/>
    <mergeCell ref="X166:AA166"/>
    <mergeCell ref="AB166:AD166"/>
    <mergeCell ref="B166:D166"/>
    <mergeCell ref="E166:I166"/>
    <mergeCell ref="J166:M166"/>
    <mergeCell ref="N166:P166"/>
    <mergeCell ref="AE164:AG164"/>
    <mergeCell ref="B165:D165"/>
    <mergeCell ref="E165:I165"/>
    <mergeCell ref="J165:M165"/>
    <mergeCell ref="N165:P165"/>
    <mergeCell ref="Q165:R165"/>
    <mergeCell ref="S165:V165"/>
    <mergeCell ref="X165:AA165"/>
    <mergeCell ref="AB165:AD165"/>
    <mergeCell ref="AE165:AG165"/>
    <mergeCell ref="Q164:R164"/>
    <mergeCell ref="S164:V164"/>
    <mergeCell ref="X164:AA164"/>
    <mergeCell ref="AB164:AD164"/>
    <mergeCell ref="B164:D164"/>
    <mergeCell ref="E164:I164"/>
    <mergeCell ref="J164:M164"/>
    <mergeCell ref="N164:P164"/>
    <mergeCell ref="AE162:AG162"/>
    <mergeCell ref="B163:D163"/>
    <mergeCell ref="E163:I163"/>
    <mergeCell ref="J163:M163"/>
    <mergeCell ref="N163:P163"/>
    <mergeCell ref="Q163:R163"/>
    <mergeCell ref="S163:V163"/>
    <mergeCell ref="X163:AA163"/>
    <mergeCell ref="AB163:AD163"/>
    <mergeCell ref="AE163:AG163"/>
    <mergeCell ref="Q162:R162"/>
    <mergeCell ref="S162:V162"/>
    <mergeCell ref="X162:AA162"/>
    <mergeCell ref="AB162:AD162"/>
    <mergeCell ref="B162:D162"/>
    <mergeCell ref="E162:I162"/>
    <mergeCell ref="J162:M162"/>
    <mergeCell ref="N162:P162"/>
    <mergeCell ref="AE160:AG160"/>
    <mergeCell ref="B161:D161"/>
    <mergeCell ref="E161:I161"/>
    <mergeCell ref="J161:M161"/>
    <mergeCell ref="N161:P161"/>
    <mergeCell ref="Q161:R161"/>
    <mergeCell ref="S161:V161"/>
    <mergeCell ref="X161:AA161"/>
    <mergeCell ref="AB161:AD161"/>
    <mergeCell ref="AE161:AG161"/>
    <mergeCell ref="Q160:R160"/>
    <mergeCell ref="S160:V160"/>
    <mergeCell ref="X160:AA160"/>
    <mergeCell ref="AB160:AD160"/>
    <mergeCell ref="B160:D160"/>
    <mergeCell ref="E160:I160"/>
    <mergeCell ref="J160:M160"/>
    <mergeCell ref="N160:P160"/>
    <mergeCell ref="AE158:AG158"/>
    <mergeCell ref="B159:D159"/>
    <mergeCell ref="E159:I159"/>
    <mergeCell ref="J159:M159"/>
    <mergeCell ref="N159:P159"/>
    <mergeCell ref="Q159:R159"/>
    <mergeCell ref="S159:V159"/>
    <mergeCell ref="X159:AA159"/>
    <mergeCell ref="AB159:AD159"/>
    <mergeCell ref="AE159:AG159"/>
    <mergeCell ref="Q158:R158"/>
    <mergeCell ref="S158:V158"/>
    <mergeCell ref="X158:AA158"/>
    <mergeCell ref="AB158:AD158"/>
    <mergeCell ref="B158:D158"/>
    <mergeCell ref="E158:I158"/>
    <mergeCell ref="J158:M158"/>
    <mergeCell ref="N158:P158"/>
    <mergeCell ref="AE156:AG156"/>
    <mergeCell ref="B157:D157"/>
    <mergeCell ref="E157:I157"/>
    <mergeCell ref="J157:M157"/>
    <mergeCell ref="N157:P157"/>
    <mergeCell ref="Q157:R157"/>
    <mergeCell ref="S157:V157"/>
    <mergeCell ref="X157:AA157"/>
    <mergeCell ref="AB157:AD157"/>
    <mergeCell ref="AE157:AG157"/>
    <mergeCell ref="Q156:R156"/>
    <mergeCell ref="S156:V156"/>
    <mergeCell ref="X156:AA156"/>
    <mergeCell ref="AB156:AD156"/>
    <mergeCell ref="B156:D156"/>
    <mergeCell ref="E156:I156"/>
    <mergeCell ref="J156:M156"/>
    <mergeCell ref="N156:P156"/>
    <mergeCell ref="AE154:AG154"/>
    <mergeCell ref="B155:D155"/>
    <mergeCell ref="E155:I155"/>
    <mergeCell ref="J155:M155"/>
    <mergeCell ref="N155:P155"/>
    <mergeCell ref="Q155:R155"/>
    <mergeCell ref="S155:V155"/>
    <mergeCell ref="X155:AA155"/>
    <mergeCell ref="AB155:AD155"/>
    <mergeCell ref="AE155:AG155"/>
    <mergeCell ref="Q154:R154"/>
    <mergeCell ref="S154:V154"/>
    <mergeCell ref="X154:AA154"/>
    <mergeCell ref="AB154:AD154"/>
    <mergeCell ref="B154:D154"/>
    <mergeCell ref="E154:I154"/>
    <mergeCell ref="J154:M154"/>
    <mergeCell ref="N154:P154"/>
    <mergeCell ref="AE152:AG152"/>
    <mergeCell ref="B153:D153"/>
    <mergeCell ref="E153:I153"/>
    <mergeCell ref="J153:M153"/>
    <mergeCell ref="N153:P153"/>
    <mergeCell ref="Q153:R153"/>
    <mergeCell ref="S153:V153"/>
    <mergeCell ref="X153:AA153"/>
    <mergeCell ref="AB153:AD153"/>
    <mergeCell ref="AE153:AG153"/>
    <mergeCell ref="Q152:R152"/>
    <mergeCell ref="S152:V152"/>
    <mergeCell ref="X152:AA152"/>
    <mergeCell ref="AB152:AD152"/>
    <mergeCell ref="B152:D152"/>
    <mergeCell ref="E152:I152"/>
    <mergeCell ref="J152:M152"/>
    <mergeCell ref="N152:P152"/>
    <mergeCell ref="AE150:AG150"/>
    <mergeCell ref="B151:D151"/>
    <mergeCell ref="E151:I151"/>
    <mergeCell ref="J151:M151"/>
    <mergeCell ref="N151:P151"/>
    <mergeCell ref="Q151:R151"/>
    <mergeCell ref="S151:V151"/>
    <mergeCell ref="X151:AA151"/>
    <mergeCell ref="AB151:AD151"/>
    <mergeCell ref="AE151:AG151"/>
    <mergeCell ref="Q150:R150"/>
    <mergeCell ref="S150:V150"/>
    <mergeCell ref="X150:AA150"/>
    <mergeCell ref="AB150:AD150"/>
    <mergeCell ref="B150:D150"/>
    <mergeCell ref="E150:I150"/>
    <mergeCell ref="J150:M150"/>
    <mergeCell ref="N150:P150"/>
    <mergeCell ref="AE148:AG148"/>
    <mergeCell ref="B149:D149"/>
    <mergeCell ref="E149:I149"/>
    <mergeCell ref="J149:M149"/>
    <mergeCell ref="N149:P149"/>
    <mergeCell ref="Q149:R149"/>
    <mergeCell ref="S149:V149"/>
    <mergeCell ref="X149:AA149"/>
    <mergeCell ref="AB149:AD149"/>
    <mergeCell ref="AE149:AG149"/>
    <mergeCell ref="Q148:R148"/>
    <mergeCell ref="S148:V148"/>
    <mergeCell ref="X148:AA148"/>
    <mergeCell ref="AB148:AD148"/>
    <mergeCell ref="B148:D148"/>
    <mergeCell ref="E148:I148"/>
    <mergeCell ref="J148:M148"/>
    <mergeCell ref="N148:P148"/>
    <mergeCell ref="AE146:AG146"/>
    <mergeCell ref="B147:D147"/>
    <mergeCell ref="E147:I147"/>
    <mergeCell ref="J147:M147"/>
    <mergeCell ref="N147:P147"/>
    <mergeCell ref="Q147:R147"/>
    <mergeCell ref="S147:V147"/>
    <mergeCell ref="X147:AA147"/>
    <mergeCell ref="AB147:AD147"/>
    <mergeCell ref="AE147:AG147"/>
    <mergeCell ref="Q146:R146"/>
    <mergeCell ref="S146:V146"/>
    <mergeCell ref="X146:AA146"/>
    <mergeCell ref="AB146:AD146"/>
    <mergeCell ref="B146:D146"/>
    <mergeCell ref="E146:I146"/>
    <mergeCell ref="J146:M146"/>
    <mergeCell ref="N146:P146"/>
    <mergeCell ref="AE144:AG144"/>
    <mergeCell ref="B145:D145"/>
    <mergeCell ref="E145:I145"/>
    <mergeCell ref="J145:M145"/>
    <mergeCell ref="N145:P145"/>
    <mergeCell ref="Q145:R145"/>
    <mergeCell ref="S145:V145"/>
    <mergeCell ref="X145:AA145"/>
    <mergeCell ref="AB145:AD145"/>
    <mergeCell ref="AE145:AG145"/>
    <mergeCell ref="Q144:R144"/>
    <mergeCell ref="S144:V144"/>
    <mergeCell ref="X144:AA144"/>
    <mergeCell ref="AB144:AD144"/>
    <mergeCell ref="B144:D144"/>
    <mergeCell ref="E144:I144"/>
    <mergeCell ref="J144:M144"/>
    <mergeCell ref="N144:P144"/>
    <mergeCell ref="AE142:AG142"/>
    <mergeCell ref="B143:D143"/>
    <mergeCell ref="E143:I143"/>
    <mergeCell ref="J143:M143"/>
    <mergeCell ref="N143:P143"/>
    <mergeCell ref="Q143:R143"/>
    <mergeCell ref="S143:V143"/>
    <mergeCell ref="X143:AA143"/>
    <mergeCell ref="AB143:AD143"/>
    <mergeCell ref="AE143:AG143"/>
    <mergeCell ref="Q142:R142"/>
    <mergeCell ref="S142:V142"/>
    <mergeCell ref="X142:AA142"/>
    <mergeCell ref="AB142:AD142"/>
    <mergeCell ref="B142:D142"/>
    <mergeCell ref="E142:I142"/>
    <mergeCell ref="J142:M142"/>
    <mergeCell ref="N142:P142"/>
    <mergeCell ref="AE140:AG140"/>
    <mergeCell ref="B141:D141"/>
    <mergeCell ref="E141:I141"/>
    <mergeCell ref="J141:M141"/>
    <mergeCell ref="N141:P141"/>
    <mergeCell ref="Q141:R141"/>
    <mergeCell ref="S141:V141"/>
    <mergeCell ref="X141:AA141"/>
    <mergeCell ref="AB141:AD141"/>
    <mergeCell ref="AE141:AG141"/>
    <mergeCell ref="Q140:R140"/>
    <mergeCell ref="S140:V140"/>
    <mergeCell ref="X140:AA140"/>
    <mergeCell ref="AB140:AD140"/>
    <mergeCell ref="B140:D140"/>
    <mergeCell ref="E140:I140"/>
    <mergeCell ref="J140:M140"/>
    <mergeCell ref="N140:P140"/>
    <mergeCell ref="AE138:AG138"/>
    <mergeCell ref="B139:D139"/>
    <mergeCell ref="E139:I139"/>
    <mergeCell ref="J139:M139"/>
    <mergeCell ref="N139:P139"/>
    <mergeCell ref="Q139:R139"/>
    <mergeCell ref="S139:V139"/>
    <mergeCell ref="X139:AA139"/>
    <mergeCell ref="AB139:AD139"/>
    <mergeCell ref="AE139:AG139"/>
    <mergeCell ref="Q138:R138"/>
    <mergeCell ref="S138:V138"/>
    <mergeCell ref="X138:AA138"/>
    <mergeCell ref="AB138:AD138"/>
    <mergeCell ref="B138:D138"/>
    <mergeCell ref="E138:I138"/>
    <mergeCell ref="J138:M138"/>
    <mergeCell ref="N138:P138"/>
    <mergeCell ref="AE136:AG136"/>
    <mergeCell ref="B137:D137"/>
    <mergeCell ref="E137:I137"/>
    <mergeCell ref="J137:M137"/>
    <mergeCell ref="N137:P137"/>
    <mergeCell ref="Q137:R137"/>
    <mergeCell ref="S137:V137"/>
    <mergeCell ref="X137:AA137"/>
    <mergeCell ref="AB137:AD137"/>
    <mergeCell ref="AE137:AG137"/>
    <mergeCell ref="Q136:R136"/>
    <mergeCell ref="S136:V136"/>
    <mergeCell ref="X136:AA136"/>
    <mergeCell ref="AB136:AD136"/>
    <mergeCell ref="B136:D136"/>
    <mergeCell ref="E136:I136"/>
    <mergeCell ref="J136:M136"/>
    <mergeCell ref="N136:P136"/>
    <mergeCell ref="AE134:AG134"/>
    <mergeCell ref="B135:D135"/>
    <mergeCell ref="E135:I135"/>
    <mergeCell ref="J135:M135"/>
    <mergeCell ref="N135:P135"/>
    <mergeCell ref="Q135:R135"/>
    <mergeCell ref="S135:V135"/>
    <mergeCell ref="X135:AA135"/>
    <mergeCell ref="AB135:AD135"/>
    <mergeCell ref="AE135:AG135"/>
    <mergeCell ref="Q134:R134"/>
    <mergeCell ref="S134:V134"/>
    <mergeCell ref="X134:AA134"/>
    <mergeCell ref="AB134:AD134"/>
    <mergeCell ref="B134:D134"/>
    <mergeCell ref="E134:I134"/>
    <mergeCell ref="J134:M134"/>
    <mergeCell ref="N134:P134"/>
    <mergeCell ref="AE132:AG132"/>
    <mergeCell ref="B133:D133"/>
    <mergeCell ref="E133:I133"/>
    <mergeCell ref="J133:M133"/>
    <mergeCell ref="N133:P133"/>
    <mergeCell ref="Q133:R133"/>
    <mergeCell ref="S133:V133"/>
    <mergeCell ref="X133:AA133"/>
    <mergeCell ref="AB133:AD133"/>
    <mergeCell ref="AE133:AG133"/>
    <mergeCell ref="Q132:R132"/>
    <mergeCell ref="S132:V132"/>
    <mergeCell ref="X132:AA132"/>
    <mergeCell ref="AB132:AD132"/>
    <mergeCell ref="B132:D132"/>
    <mergeCell ref="E132:I132"/>
    <mergeCell ref="J132:M132"/>
    <mergeCell ref="N132:P132"/>
    <mergeCell ref="AE130:AG130"/>
    <mergeCell ref="B131:D131"/>
    <mergeCell ref="E131:I131"/>
    <mergeCell ref="J131:M131"/>
    <mergeCell ref="N131:P131"/>
    <mergeCell ref="Q131:R131"/>
    <mergeCell ref="S131:V131"/>
    <mergeCell ref="X131:AA131"/>
    <mergeCell ref="AB131:AD131"/>
    <mergeCell ref="AE131:AG131"/>
    <mergeCell ref="Q130:R130"/>
    <mergeCell ref="S130:V130"/>
    <mergeCell ref="X130:AA130"/>
    <mergeCell ref="AB130:AD130"/>
    <mergeCell ref="B130:D130"/>
    <mergeCell ref="E130:I130"/>
    <mergeCell ref="J130:M130"/>
    <mergeCell ref="N130:P130"/>
    <mergeCell ref="AE128:AG128"/>
    <mergeCell ref="B129:D129"/>
    <mergeCell ref="E129:I129"/>
    <mergeCell ref="J129:M129"/>
    <mergeCell ref="N129:P129"/>
    <mergeCell ref="Q129:R129"/>
    <mergeCell ref="S129:V129"/>
    <mergeCell ref="X129:AA129"/>
    <mergeCell ref="AB129:AD129"/>
    <mergeCell ref="AE129:AG129"/>
    <mergeCell ref="Q128:R128"/>
    <mergeCell ref="S128:V128"/>
    <mergeCell ref="X128:AA128"/>
    <mergeCell ref="AB128:AD128"/>
    <mergeCell ref="B128:D128"/>
    <mergeCell ref="E128:I128"/>
    <mergeCell ref="J128:M128"/>
    <mergeCell ref="N128:P128"/>
    <mergeCell ref="AE126:AG126"/>
    <mergeCell ref="B127:D127"/>
    <mergeCell ref="E127:I127"/>
    <mergeCell ref="J127:M127"/>
    <mergeCell ref="N127:P127"/>
    <mergeCell ref="Q127:R127"/>
    <mergeCell ref="S127:V127"/>
    <mergeCell ref="X127:AA127"/>
    <mergeCell ref="AB127:AD127"/>
    <mergeCell ref="AE127:AG127"/>
    <mergeCell ref="Q126:R126"/>
    <mergeCell ref="S126:V126"/>
    <mergeCell ref="X126:AA126"/>
    <mergeCell ref="AB126:AD126"/>
    <mergeCell ref="B126:D126"/>
    <mergeCell ref="E126:I126"/>
    <mergeCell ref="J126:M126"/>
    <mergeCell ref="N126:P126"/>
    <mergeCell ref="AE124:AG124"/>
    <mergeCell ref="B125:D125"/>
    <mergeCell ref="E125:I125"/>
    <mergeCell ref="J125:M125"/>
    <mergeCell ref="N125:P125"/>
    <mergeCell ref="Q125:R125"/>
    <mergeCell ref="S125:V125"/>
    <mergeCell ref="X125:AA125"/>
    <mergeCell ref="AB125:AD125"/>
    <mergeCell ref="AE125:AG125"/>
    <mergeCell ref="Q124:R124"/>
    <mergeCell ref="S124:V124"/>
    <mergeCell ref="X124:AA124"/>
    <mergeCell ref="AB124:AD124"/>
    <mergeCell ref="B124:D124"/>
    <mergeCell ref="E124:I124"/>
    <mergeCell ref="J124:M124"/>
    <mergeCell ref="N124:P124"/>
    <mergeCell ref="AE122:AG122"/>
    <mergeCell ref="B123:D123"/>
    <mergeCell ref="E123:I123"/>
    <mergeCell ref="J123:M123"/>
    <mergeCell ref="N123:P123"/>
    <mergeCell ref="Q123:R123"/>
    <mergeCell ref="S123:V123"/>
    <mergeCell ref="X123:AA123"/>
    <mergeCell ref="AB123:AD123"/>
    <mergeCell ref="AE123:AG123"/>
    <mergeCell ref="Q122:R122"/>
    <mergeCell ref="S122:V122"/>
    <mergeCell ref="X122:AA122"/>
    <mergeCell ref="AB122:AD122"/>
    <mergeCell ref="B122:D122"/>
    <mergeCell ref="E122:I122"/>
    <mergeCell ref="J122:M122"/>
    <mergeCell ref="N122:P122"/>
    <mergeCell ref="AE120:AG120"/>
    <mergeCell ref="B121:D121"/>
    <mergeCell ref="E121:I121"/>
    <mergeCell ref="J121:M121"/>
    <mergeCell ref="N121:P121"/>
    <mergeCell ref="Q121:R121"/>
    <mergeCell ref="S121:V121"/>
    <mergeCell ref="X121:AA121"/>
    <mergeCell ref="AB121:AD121"/>
    <mergeCell ref="AE121:AG121"/>
    <mergeCell ref="Q120:R120"/>
    <mergeCell ref="S120:V120"/>
    <mergeCell ref="X120:AA120"/>
    <mergeCell ref="AB120:AD120"/>
    <mergeCell ref="B120:D120"/>
    <mergeCell ref="E120:I120"/>
    <mergeCell ref="J120:M120"/>
    <mergeCell ref="N120:P120"/>
    <mergeCell ref="AE118:AG118"/>
    <mergeCell ref="B119:D119"/>
    <mergeCell ref="E119:I119"/>
    <mergeCell ref="J119:M119"/>
    <mergeCell ref="N119:P119"/>
    <mergeCell ref="Q119:R119"/>
    <mergeCell ref="S119:V119"/>
    <mergeCell ref="X119:AA119"/>
    <mergeCell ref="AB119:AD119"/>
    <mergeCell ref="AE119:AG119"/>
    <mergeCell ref="Q118:R118"/>
    <mergeCell ref="S118:V118"/>
    <mergeCell ref="X118:AA118"/>
    <mergeCell ref="AB118:AD118"/>
    <mergeCell ref="B118:D118"/>
    <mergeCell ref="E118:I118"/>
    <mergeCell ref="J118:M118"/>
    <mergeCell ref="N118:P118"/>
    <mergeCell ref="AE116:AG116"/>
    <mergeCell ref="B117:D117"/>
    <mergeCell ref="E117:I117"/>
    <mergeCell ref="J117:M117"/>
    <mergeCell ref="N117:P117"/>
    <mergeCell ref="Q117:R117"/>
    <mergeCell ref="S117:V117"/>
    <mergeCell ref="X117:AA117"/>
    <mergeCell ref="AB117:AD117"/>
    <mergeCell ref="AE117:AG117"/>
    <mergeCell ref="Q116:R116"/>
    <mergeCell ref="S116:V116"/>
    <mergeCell ref="X116:AA116"/>
    <mergeCell ref="AB116:AD116"/>
    <mergeCell ref="B116:D116"/>
    <mergeCell ref="E116:I116"/>
    <mergeCell ref="J116:M116"/>
    <mergeCell ref="N116:P116"/>
    <mergeCell ref="AE114:AG114"/>
    <mergeCell ref="B115:D115"/>
    <mergeCell ref="E115:I115"/>
    <mergeCell ref="J115:M115"/>
    <mergeCell ref="N115:P115"/>
    <mergeCell ref="Q115:R115"/>
    <mergeCell ref="S115:V115"/>
    <mergeCell ref="X115:AA115"/>
    <mergeCell ref="AB115:AD115"/>
    <mergeCell ref="AE115:AG115"/>
    <mergeCell ref="Q114:R114"/>
    <mergeCell ref="S114:V114"/>
    <mergeCell ref="X114:AA114"/>
    <mergeCell ref="AB114:AD114"/>
    <mergeCell ref="B114:D114"/>
    <mergeCell ref="E114:I114"/>
    <mergeCell ref="J114:M114"/>
    <mergeCell ref="N114:P114"/>
    <mergeCell ref="AE112:AG112"/>
    <mergeCell ref="B113:D113"/>
    <mergeCell ref="E113:I113"/>
    <mergeCell ref="J113:M113"/>
    <mergeCell ref="N113:P113"/>
    <mergeCell ref="Q113:R113"/>
    <mergeCell ref="S113:V113"/>
    <mergeCell ref="X113:AA113"/>
    <mergeCell ref="AB113:AD113"/>
    <mergeCell ref="AE113:AG113"/>
    <mergeCell ref="Q112:R112"/>
    <mergeCell ref="S112:V112"/>
    <mergeCell ref="X112:AA112"/>
    <mergeCell ref="AB112:AD112"/>
    <mergeCell ref="B112:D112"/>
    <mergeCell ref="E112:I112"/>
    <mergeCell ref="J112:M112"/>
    <mergeCell ref="N112:P112"/>
    <mergeCell ref="AE110:AG110"/>
    <mergeCell ref="B111:D111"/>
    <mergeCell ref="E111:I111"/>
    <mergeCell ref="J111:M111"/>
    <mergeCell ref="N111:P111"/>
    <mergeCell ref="Q111:R111"/>
    <mergeCell ref="S111:V111"/>
    <mergeCell ref="X111:AA111"/>
    <mergeCell ref="AB111:AD111"/>
    <mergeCell ref="AE111:AG111"/>
    <mergeCell ref="Q110:R110"/>
    <mergeCell ref="S110:V110"/>
    <mergeCell ref="X110:AA110"/>
    <mergeCell ref="AB110:AD110"/>
    <mergeCell ref="B110:D110"/>
    <mergeCell ref="E110:I110"/>
    <mergeCell ref="J110:M110"/>
    <mergeCell ref="N110:P110"/>
    <mergeCell ref="AE108:AG108"/>
    <mergeCell ref="B109:D109"/>
    <mergeCell ref="E109:I109"/>
    <mergeCell ref="J109:M109"/>
    <mergeCell ref="N109:P109"/>
    <mergeCell ref="Q109:R109"/>
    <mergeCell ref="S109:V109"/>
    <mergeCell ref="X109:AA109"/>
    <mergeCell ref="AB109:AD109"/>
    <mergeCell ref="AE109:AG109"/>
    <mergeCell ref="Q108:R108"/>
    <mergeCell ref="S108:V108"/>
    <mergeCell ref="X108:AA108"/>
    <mergeCell ref="AB108:AD108"/>
    <mergeCell ref="B108:D108"/>
    <mergeCell ref="E108:I108"/>
    <mergeCell ref="J108:M108"/>
    <mergeCell ref="N108:P108"/>
    <mergeCell ref="AE106:AG106"/>
    <mergeCell ref="B107:D107"/>
    <mergeCell ref="E107:I107"/>
    <mergeCell ref="J107:M107"/>
    <mergeCell ref="N107:P107"/>
    <mergeCell ref="Q107:R107"/>
    <mergeCell ref="S107:V107"/>
    <mergeCell ref="X107:AA107"/>
    <mergeCell ref="AB107:AD107"/>
    <mergeCell ref="AE107:AG107"/>
    <mergeCell ref="Q106:R106"/>
    <mergeCell ref="S106:V106"/>
    <mergeCell ref="X106:AA106"/>
    <mergeCell ref="AB106:AD106"/>
    <mergeCell ref="B106:D106"/>
    <mergeCell ref="E106:I106"/>
    <mergeCell ref="J106:M106"/>
    <mergeCell ref="N106:P106"/>
    <mergeCell ref="AE104:AG104"/>
    <mergeCell ref="B105:D105"/>
    <mergeCell ref="E105:I105"/>
    <mergeCell ref="J105:M105"/>
    <mergeCell ref="N105:P105"/>
    <mergeCell ref="Q105:R105"/>
    <mergeCell ref="S105:V105"/>
    <mergeCell ref="X105:AA105"/>
    <mergeCell ref="AB105:AD105"/>
    <mergeCell ref="AE105:AG105"/>
    <mergeCell ref="Q104:R104"/>
    <mergeCell ref="S104:V104"/>
    <mergeCell ref="X104:AA104"/>
    <mergeCell ref="AB104:AD104"/>
    <mergeCell ref="B104:D104"/>
    <mergeCell ref="E104:I104"/>
    <mergeCell ref="J104:M104"/>
    <mergeCell ref="N104:P104"/>
    <mergeCell ref="AE102:AG102"/>
    <mergeCell ref="B103:D103"/>
    <mergeCell ref="E103:I103"/>
    <mergeCell ref="J103:M103"/>
    <mergeCell ref="N103:P103"/>
    <mergeCell ref="Q103:R103"/>
    <mergeCell ref="S103:V103"/>
    <mergeCell ref="X103:AA103"/>
    <mergeCell ref="AB103:AD103"/>
    <mergeCell ref="AE103:AG103"/>
    <mergeCell ref="Q102:R102"/>
    <mergeCell ref="S102:V102"/>
    <mergeCell ref="X102:AA102"/>
    <mergeCell ref="AB102:AD102"/>
    <mergeCell ref="B102:D102"/>
    <mergeCell ref="E102:I102"/>
    <mergeCell ref="J102:M102"/>
    <mergeCell ref="N102:P102"/>
    <mergeCell ref="AE100:AG100"/>
    <mergeCell ref="B101:D101"/>
    <mergeCell ref="E101:I101"/>
    <mergeCell ref="J101:M101"/>
    <mergeCell ref="N101:P101"/>
    <mergeCell ref="Q101:R101"/>
    <mergeCell ref="S101:V101"/>
    <mergeCell ref="X101:AA101"/>
    <mergeCell ref="AB101:AD101"/>
    <mergeCell ref="AE101:AG101"/>
    <mergeCell ref="Q100:R100"/>
    <mergeCell ref="S100:V100"/>
    <mergeCell ref="X100:AA100"/>
    <mergeCell ref="AB100:AD100"/>
    <mergeCell ref="B100:D100"/>
    <mergeCell ref="E100:I100"/>
    <mergeCell ref="J100:M100"/>
    <mergeCell ref="N100:P100"/>
    <mergeCell ref="AE98:AG98"/>
    <mergeCell ref="B99:D99"/>
    <mergeCell ref="E99:I99"/>
    <mergeCell ref="J99:M99"/>
    <mergeCell ref="N99:P99"/>
    <mergeCell ref="Q99:R99"/>
    <mergeCell ref="S99:V99"/>
    <mergeCell ref="X99:AA99"/>
    <mergeCell ref="AB99:AD99"/>
    <mergeCell ref="AE99:AG99"/>
    <mergeCell ref="Q98:R98"/>
    <mergeCell ref="S98:V98"/>
    <mergeCell ref="X98:AA98"/>
    <mergeCell ref="AB98:AD98"/>
    <mergeCell ref="B98:D98"/>
    <mergeCell ref="E98:I98"/>
    <mergeCell ref="J98:M98"/>
    <mergeCell ref="N98:P98"/>
    <mergeCell ref="AE96:AG96"/>
    <mergeCell ref="B97:D97"/>
    <mergeCell ref="E97:I97"/>
    <mergeCell ref="J97:M97"/>
    <mergeCell ref="N97:P97"/>
    <mergeCell ref="Q97:R97"/>
    <mergeCell ref="S97:V97"/>
    <mergeCell ref="X97:AA97"/>
    <mergeCell ref="AB97:AD97"/>
    <mergeCell ref="AE97:AG97"/>
    <mergeCell ref="Q96:R96"/>
    <mergeCell ref="S96:V96"/>
    <mergeCell ref="X96:AA96"/>
    <mergeCell ref="AB96:AD96"/>
    <mergeCell ref="B96:D96"/>
    <mergeCell ref="E96:I96"/>
    <mergeCell ref="J96:M96"/>
    <mergeCell ref="N96:P96"/>
    <mergeCell ref="AE94:AG94"/>
    <mergeCell ref="B95:D95"/>
    <mergeCell ref="E95:I95"/>
    <mergeCell ref="J95:M95"/>
    <mergeCell ref="N95:P95"/>
    <mergeCell ref="Q95:R95"/>
    <mergeCell ref="S95:V95"/>
    <mergeCell ref="X95:AA95"/>
    <mergeCell ref="AB95:AD95"/>
    <mergeCell ref="AE95:AG95"/>
    <mergeCell ref="Q94:R94"/>
    <mergeCell ref="S94:V94"/>
    <mergeCell ref="X94:AA94"/>
    <mergeCell ref="AB94:AD94"/>
    <mergeCell ref="B94:D94"/>
    <mergeCell ref="E94:I94"/>
    <mergeCell ref="J94:M94"/>
    <mergeCell ref="N94:P94"/>
    <mergeCell ref="AE92:AG92"/>
    <mergeCell ref="B93:D93"/>
    <mergeCell ref="E93:I93"/>
    <mergeCell ref="J93:M93"/>
    <mergeCell ref="N93:P93"/>
    <mergeCell ref="Q93:R93"/>
    <mergeCell ref="S93:V93"/>
    <mergeCell ref="X93:AA93"/>
    <mergeCell ref="AB93:AD93"/>
    <mergeCell ref="AE93:AG93"/>
    <mergeCell ref="Q92:R92"/>
    <mergeCell ref="S92:V92"/>
    <mergeCell ref="X92:AA92"/>
    <mergeCell ref="AB92:AD92"/>
    <mergeCell ref="B92:D92"/>
    <mergeCell ref="E92:I92"/>
    <mergeCell ref="J92:M92"/>
    <mergeCell ref="N92:P92"/>
    <mergeCell ref="AE90:AG90"/>
    <mergeCell ref="B91:D91"/>
    <mergeCell ref="E91:I91"/>
    <mergeCell ref="J91:M91"/>
    <mergeCell ref="N91:P91"/>
    <mergeCell ref="Q91:R91"/>
    <mergeCell ref="S91:V91"/>
    <mergeCell ref="X91:AA91"/>
    <mergeCell ref="AB91:AD91"/>
    <mergeCell ref="AE91:AG91"/>
    <mergeCell ref="Q90:R90"/>
    <mergeCell ref="S90:V90"/>
    <mergeCell ref="X90:AA90"/>
    <mergeCell ref="AB90:AD90"/>
    <mergeCell ref="B90:D90"/>
    <mergeCell ref="E90:I90"/>
    <mergeCell ref="J90:M90"/>
    <mergeCell ref="N90:P90"/>
    <mergeCell ref="AE88:AG88"/>
    <mergeCell ref="B89:D89"/>
    <mergeCell ref="E89:I89"/>
    <mergeCell ref="J89:M89"/>
    <mergeCell ref="N89:P89"/>
    <mergeCell ref="Q89:R89"/>
    <mergeCell ref="S89:V89"/>
    <mergeCell ref="X89:AA89"/>
    <mergeCell ref="AB89:AD89"/>
    <mergeCell ref="AE89:AG89"/>
    <mergeCell ref="Q88:R88"/>
    <mergeCell ref="S88:V88"/>
    <mergeCell ref="X88:AA88"/>
    <mergeCell ref="AB88:AD88"/>
    <mergeCell ref="B88:D88"/>
    <mergeCell ref="E88:I88"/>
    <mergeCell ref="J88:M88"/>
    <mergeCell ref="N88:P88"/>
    <mergeCell ref="AE86:AG86"/>
    <mergeCell ref="B87:D87"/>
    <mergeCell ref="E87:I87"/>
    <mergeCell ref="J87:M87"/>
    <mergeCell ref="N87:P87"/>
    <mergeCell ref="Q87:R87"/>
    <mergeCell ref="S87:V87"/>
    <mergeCell ref="X87:AA87"/>
    <mergeCell ref="AB87:AD87"/>
    <mergeCell ref="AE87:AG87"/>
    <mergeCell ref="Q86:R86"/>
    <mergeCell ref="S86:V86"/>
    <mergeCell ref="X86:AA86"/>
    <mergeCell ref="AB86:AD86"/>
    <mergeCell ref="B86:D86"/>
    <mergeCell ref="E86:I86"/>
    <mergeCell ref="J86:M86"/>
    <mergeCell ref="N86:P86"/>
    <mergeCell ref="AE84:AG84"/>
    <mergeCell ref="B85:D85"/>
    <mergeCell ref="E85:I85"/>
    <mergeCell ref="J85:M85"/>
    <mergeCell ref="N85:P85"/>
    <mergeCell ref="Q85:R85"/>
    <mergeCell ref="S85:V85"/>
    <mergeCell ref="X85:AA85"/>
    <mergeCell ref="AB85:AD85"/>
    <mergeCell ref="AE85:AG85"/>
    <mergeCell ref="Q84:R84"/>
    <mergeCell ref="S84:V84"/>
    <mergeCell ref="X84:AA84"/>
    <mergeCell ref="AB84:AD84"/>
    <mergeCell ref="B84:D84"/>
    <mergeCell ref="E84:I84"/>
    <mergeCell ref="J84:M84"/>
    <mergeCell ref="N84:P84"/>
    <mergeCell ref="AE82:AG82"/>
    <mergeCell ref="B83:D83"/>
    <mergeCell ref="E83:I83"/>
    <mergeCell ref="J83:M83"/>
    <mergeCell ref="N83:P83"/>
    <mergeCell ref="Q83:R83"/>
    <mergeCell ref="S83:V83"/>
    <mergeCell ref="X83:AA83"/>
    <mergeCell ref="AB83:AD83"/>
    <mergeCell ref="AE83:AG83"/>
    <mergeCell ref="Q82:R82"/>
    <mergeCell ref="S82:V82"/>
    <mergeCell ref="X82:AA82"/>
    <mergeCell ref="AB82:AD82"/>
    <mergeCell ref="B82:D82"/>
    <mergeCell ref="E82:I82"/>
    <mergeCell ref="J82:M82"/>
    <mergeCell ref="N82:P82"/>
    <mergeCell ref="AE80:AG80"/>
    <mergeCell ref="B81:D81"/>
    <mergeCell ref="E81:I81"/>
    <mergeCell ref="J81:M81"/>
    <mergeCell ref="N81:P81"/>
    <mergeCell ref="Q81:R81"/>
    <mergeCell ref="S81:V81"/>
    <mergeCell ref="X81:AA81"/>
    <mergeCell ref="AB81:AD81"/>
    <mergeCell ref="AE81:AG81"/>
    <mergeCell ref="Q80:R80"/>
    <mergeCell ref="S80:V80"/>
    <mergeCell ref="X80:AA80"/>
    <mergeCell ref="AB80:AD80"/>
    <mergeCell ref="B80:D80"/>
    <mergeCell ref="E80:I80"/>
    <mergeCell ref="J80:M80"/>
    <mergeCell ref="N80:P80"/>
    <mergeCell ref="AE78:AG78"/>
    <mergeCell ref="B79:D79"/>
    <mergeCell ref="E79:I79"/>
    <mergeCell ref="J79:M79"/>
    <mergeCell ref="N79:P79"/>
    <mergeCell ref="Q79:R79"/>
    <mergeCell ref="S79:V79"/>
    <mergeCell ref="X79:AA79"/>
    <mergeCell ref="AB79:AD79"/>
    <mergeCell ref="AE79:AG79"/>
    <mergeCell ref="Q78:R78"/>
    <mergeCell ref="S78:V78"/>
    <mergeCell ref="X78:AA78"/>
    <mergeCell ref="AB78:AD78"/>
    <mergeCell ref="B78:D78"/>
    <mergeCell ref="E78:I78"/>
    <mergeCell ref="J78:M78"/>
    <mergeCell ref="N78:P78"/>
    <mergeCell ref="AE76:AG76"/>
    <mergeCell ref="B77:D77"/>
    <mergeCell ref="E77:I77"/>
    <mergeCell ref="J77:M77"/>
    <mergeCell ref="N77:P77"/>
    <mergeCell ref="Q77:R77"/>
    <mergeCell ref="S77:V77"/>
    <mergeCell ref="X77:AA77"/>
    <mergeCell ref="AB77:AD77"/>
    <mergeCell ref="AE77:AG77"/>
    <mergeCell ref="Q76:R76"/>
    <mergeCell ref="S76:V76"/>
    <mergeCell ref="X76:AA76"/>
    <mergeCell ref="AB76:AD76"/>
    <mergeCell ref="B76:D76"/>
    <mergeCell ref="E76:I76"/>
    <mergeCell ref="J76:M76"/>
    <mergeCell ref="N76:P76"/>
    <mergeCell ref="AE74:AG74"/>
    <mergeCell ref="B75:D75"/>
    <mergeCell ref="E75:I75"/>
    <mergeCell ref="J75:M75"/>
    <mergeCell ref="N75:P75"/>
    <mergeCell ref="Q75:R75"/>
    <mergeCell ref="S75:V75"/>
    <mergeCell ref="X75:AA75"/>
    <mergeCell ref="AB75:AD75"/>
    <mergeCell ref="AE75:AG75"/>
    <mergeCell ref="Q74:R74"/>
    <mergeCell ref="S74:V74"/>
    <mergeCell ref="X74:AA74"/>
    <mergeCell ref="AB74:AD74"/>
    <mergeCell ref="B74:D74"/>
    <mergeCell ref="E74:I74"/>
    <mergeCell ref="J74:M74"/>
    <mergeCell ref="N74:P74"/>
    <mergeCell ref="AE72:AG72"/>
    <mergeCell ref="B73:D73"/>
    <mergeCell ref="E73:I73"/>
    <mergeCell ref="J73:M73"/>
    <mergeCell ref="N73:P73"/>
    <mergeCell ref="Q73:R73"/>
    <mergeCell ref="S73:V73"/>
    <mergeCell ref="X73:AA73"/>
    <mergeCell ref="AB73:AD73"/>
    <mergeCell ref="AE73:AG73"/>
    <mergeCell ref="Q72:R72"/>
    <mergeCell ref="S72:V72"/>
    <mergeCell ref="X72:AA72"/>
    <mergeCell ref="AB72:AD72"/>
    <mergeCell ref="B72:D72"/>
    <mergeCell ref="E72:I72"/>
    <mergeCell ref="J72:M72"/>
    <mergeCell ref="N72:P72"/>
    <mergeCell ref="AE70:AG70"/>
    <mergeCell ref="B71:D71"/>
    <mergeCell ref="E71:I71"/>
    <mergeCell ref="J71:M71"/>
    <mergeCell ref="N71:P71"/>
    <mergeCell ref="Q71:R71"/>
    <mergeCell ref="S71:V71"/>
    <mergeCell ref="X71:AA71"/>
    <mergeCell ref="AB71:AD71"/>
    <mergeCell ref="AE71:AG71"/>
    <mergeCell ref="Q70:R70"/>
    <mergeCell ref="S70:V70"/>
    <mergeCell ref="X70:AA70"/>
    <mergeCell ref="AB70:AD70"/>
    <mergeCell ref="B70:D70"/>
    <mergeCell ref="E70:I70"/>
    <mergeCell ref="J70:M70"/>
    <mergeCell ref="N70:P70"/>
    <mergeCell ref="AE68:AG68"/>
    <mergeCell ref="B69:D69"/>
    <mergeCell ref="E69:I69"/>
    <mergeCell ref="J69:M69"/>
    <mergeCell ref="N69:P69"/>
    <mergeCell ref="Q69:R69"/>
    <mergeCell ref="S69:V69"/>
    <mergeCell ref="X69:AA69"/>
    <mergeCell ref="AB69:AD69"/>
    <mergeCell ref="AE69:AG69"/>
    <mergeCell ref="Q68:R68"/>
    <mergeCell ref="S68:V68"/>
    <mergeCell ref="X68:AA68"/>
    <mergeCell ref="AB68:AD68"/>
    <mergeCell ref="B68:D68"/>
    <mergeCell ref="E68:I68"/>
    <mergeCell ref="J68:M68"/>
    <mergeCell ref="N68:P68"/>
    <mergeCell ref="AE66:AG66"/>
    <mergeCell ref="B67:D67"/>
    <mergeCell ref="E67:I67"/>
    <mergeCell ref="J67:M67"/>
    <mergeCell ref="N67:P67"/>
    <mergeCell ref="Q67:R67"/>
    <mergeCell ref="S67:V67"/>
    <mergeCell ref="X67:AA67"/>
    <mergeCell ref="AB67:AD67"/>
    <mergeCell ref="AE67:AG67"/>
    <mergeCell ref="Q66:R66"/>
    <mergeCell ref="S66:V66"/>
    <mergeCell ref="X66:AA66"/>
    <mergeCell ref="AB66:AD66"/>
    <mergeCell ref="B66:D66"/>
    <mergeCell ref="E66:I66"/>
    <mergeCell ref="J66:M66"/>
    <mergeCell ref="N66:P66"/>
    <mergeCell ref="AE64:AG64"/>
    <mergeCell ref="B65:D65"/>
    <mergeCell ref="E65:I65"/>
    <mergeCell ref="J65:M65"/>
    <mergeCell ref="N65:P65"/>
    <mergeCell ref="Q65:R65"/>
    <mergeCell ref="S65:V65"/>
    <mergeCell ref="X65:AA65"/>
    <mergeCell ref="AB65:AD65"/>
    <mergeCell ref="AE65:AG65"/>
    <mergeCell ref="Q64:R64"/>
    <mergeCell ref="S64:V64"/>
    <mergeCell ref="X64:AA64"/>
    <mergeCell ref="AB64:AD64"/>
    <mergeCell ref="B64:D64"/>
    <mergeCell ref="E64:I64"/>
    <mergeCell ref="J64:M64"/>
    <mergeCell ref="N64:P64"/>
    <mergeCell ref="AE62:AG62"/>
    <mergeCell ref="B63:D63"/>
    <mergeCell ref="E63:I63"/>
    <mergeCell ref="J63:M63"/>
    <mergeCell ref="N63:P63"/>
    <mergeCell ref="Q63:R63"/>
    <mergeCell ref="S63:V63"/>
    <mergeCell ref="X63:AA63"/>
    <mergeCell ref="AB63:AD63"/>
    <mergeCell ref="AE63:AG63"/>
    <mergeCell ref="Q62:R62"/>
    <mergeCell ref="S62:V62"/>
    <mergeCell ref="X62:AA62"/>
    <mergeCell ref="AB62:AD62"/>
    <mergeCell ref="B62:D62"/>
    <mergeCell ref="E62:I62"/>
    <mergeCell ref="J62:M62"/>
    <mergeCell ref="N62:P62"/>
    <mergeCell ref="AE60:AG60"/>
    <mergeCell ref="B61:D61"/>
    <mergeCell ref="E61:I61"/>
    <mergeCell ref="J61:M61"/>
    <mergeCell ref="N61:P61"/>
    <mergeCell ref="Q61:R61"/>
    <mergeCell ref="S61:V61"/>
    <mergeCell ref="X61:AA61"/>
    <mergeCell ref="AB61:AD61"/>
    <mergeCell ref="AE61:AG61"/>
    <mergeCell ref="Q60:R60"/>
    <mergeCell ref="S60:V60"/>
    <mergeCell ref="X60:AA60"/>
    <mergeCell ref="AB60:AD60"/>
    <mergeCell ref="B60:D60"/>
    <mergeCell ref="E60:I60"/>
    <mergeCell ref="J60:M60"/>
    <mergeCell ref="N60:P60"/>
    <mergeCell ref="AE58:AG58"/>
    <mergeCell ref="B59:D59"/>
    <mergeCell ref="E59:I59"/>
    <mergeCell ref="J59:M59"/>
    <mergeCell ref="N59:P59"/>
    <mergeCell ref="Q59:R59"/>
    <mergeCell ref="S59:V59"/>
    <mergeCell ref="X59:AA59"/>
    <mergeCell ref="AB59:AD59"/>
    <mergeCell ref="AE59:AG59"/>
    <mergeCell ref="Q58:R58"/>
    <mergeCell ref="S58:V58"/>
    <mergeCell ref="X58:AA58"/>
    <mergeCell ref="AB58:AD58"/>
    <mergeCell ref="B58:D58"/>
    <mergeCell ref="E58:I58"/>
    <mergeCell ref="J58:M58"/>
    <mergeCell ref="N58:P58"/>
    <mergeCell ref="AE56:AG56"/>
    <mergeCell ref="B57:D57"/>
    <mergeCell ref="E57:I57"/>
    <mergeCell ref="J57:M57"/>
    <mergeCell ref="N57:P57"/>
    <mergeCell ref="Q57:R57"/>
    <mergeCell ref="S57:V57"/>
    <mergeCell ref="X57:AA57"/>
    <mergeCell ref="AB57:AD57"/>
    <mergeCell ref="AE57:AG57"/>
    <mergeCell ref="Q56:R56"/>
    <mergeCell ref="S56:V56"/>
    <mergeCell ref="X56:AA56"/>
    <mergeCell ref="AB56:AD56"/>
    <mergeCell ref="B56:D56"/>
    <mergeCell ref="E56:I56"/>
    <mergeCell ref="J56:M56"/>
    <mergeCell ref="N56:P56"/>
    <mergeCell ref="AE54:AG54"/>
    <mergeCell ref="B55:D55"/>
    <mergeCell ref="E55:I55"/>
    <mergeCell ref="J55:M55"/>
    <mergeCell ref="N55:P55"/>
    <mergeCell ref="Q55:R55"/>
    <mergeCell ref="S55:V55"/>
    <mergeCell ref="X55:AA55"/>
    <mergeCell ref="AB55:AD55"/>
    <mergeCell ref="AE55:AG55"/>
    <mergeCell ref="Q54:R54"/>
    <mergeCell ref="S54:V54"/>
    <mergeCell ref="X54:AA54"/>
    <mergeCell ref="AB54:AD54"/>
    <mergeCell ref="B54:D54"/>
    <mergeCell ref="E54:I54"/>
    <mergeCell ref="J54:M54"/>
    <mergeCell ref="N54:P54"/>
    <mergeCell ref="AE52:AG52"/>
    <mergeCell ref="B53:D53"/>
    <mergeCell ref="E53:I53"/>
    <mergeCell ref="J53:M53"/>
    <mergeCell ref="N53:P53"/>
    <mergeCell ref="Q53:R53"/>
    <mergeCell ref="S53:V53"/>
    <mergeCell ref="X53:AA53"/>
    <mergeCell ref="AB53:AD53"/>
    <mergeCell ref="AE53:AG53"/>
    <mergeCell ref="Q52:R52"/>
    <mergeCell ref="S52:V52"/>
    <mergeCell ref="X52:AA52"/>
    <mergeCell ref="AB52:AD52"/>
    <mergeCell ref="B52:D52"/>
    <mergeCell ref="E52:I52"/>
    <mergeCell ref="J52:M52"/>
    <mergeCell ref="N52:P52"/>
    <mergeCell ref="AE50:AG50"/>
    <mergeCell ref="B51:D51"/>
    <mergeCell ref="E51:I51"/>
    <mergeCell ref="J51:M51"/>
    <mergeCell ref="N51:P51"/>
    <mergeCell ref="Q51:R51"/>
    <mergeCell ref="S51:V51"/>
    <mergeCell ref="X51:AA51"/>
    <mergeCell ref="AB51:AD51"/>
    <mergeCell ref="AE51:AG51"/>
    <mergeCell ref="Q50:R50"/>
    <mergeCell ref="S50:V50"/>
    <mergeCell ref="X50:AA50"/>
    <mergeCell ref="AB50:AD50"/>
    <mergeCell ref="B50:D50"/>
    <mergeCell ref="E50:I50"/>
    <mergeCell ref="J50:M50"/>
    <mergeCell ref="N50:P50"/>
    <mergeCell ref="AE48:AG48"/>
    <mergeCell ref="B49:D49"/>
    <mergeCell ref="E49:I49"/>
    <mergeCell ref="J49:M49"/>
    <mergeCell ref="N49:P49"/>
    <mergeCell ref="Q49:R49"/>
    <mergeCell ref="S49:V49"/>
    <mergeCell ref="X49:AA49"/>
    <mergeCell ref="AB49:AD49"/>
    <mergeCell ref="AE49:AG49"/>
    <mergeCell ref="Q48:R48"/>
    <mergeCell ref="S48:V48"/>
    <mergeCell ref="X48:AA48"/>
    <mergeCell ref="AB48:AD48"/>
    <mergeCell ref="B48:D48"/>
    <mergeCell ref="E48:I48"/>
    <mergeCell ref="J48:M48"/>
    <mergeCell ref="N48:P48"/>
    <mergeCell ref="AE46:AG46"/>
    <mergeCell ref="B47:D47"/>
    <mergeCell ref="E47:I47"/>
    <mergeCell ref="J47:M47"/>
    <mergeCell ref="N47:P47"/>
    <mergeCell ref="Q47:R47"/>
    <mergeCell ref="S47:V47"/>
    <mergeCell ref="X47:AA47"/>
    <mergeCell ref="AB47:AD47"/>
    <mergeCell ref="AE47:AG47"/>
    <mergeCell ref="Q46:R46"/>
    <mergeCell ref="S46:V46"/>
    <mergeCell ref="X46:AA46"/>
    <mergeCell ref="AB46:AD46"/>
    <mergeCell ref="B46:D46"/>
    <mergeCell ref="E46:I46"/>
    <mergeCell ref="J46:M46"/>
    <mergeCell ref="N46:P46"/>
    <mergeCell ref="AE44:AG44"/>
    <mergeCell ref="B45:D45"/>
    <mergeCell ref="E45:I45"/>
    <mergeCell ref="J45:M45"/>
    <mergeCell ref="N45:P45"/>
    <mergeCell ref="Q45:R45"/>
    <mergeCell ref="S45:V45"/>
    <mergeCell ref="X45:AA45"/>
    <mergeCell ref="AB45:AD45"/>
    <mergeCell ref="AE45:AG45"/>
    <mergeCell ref="Q44:R44"/>
    <mergeCell ref="S44:V44"/>
    <mergeCell ref="X44:AA44"/>
    <mergeCell ref="AB44:AD44"/>
    <mergeCell ref="B44:D44"/>
    <mergeCell ref="E44:I44"/>
    <mergeCell ref="J44:M44"/>
    <mergeCell ref="N44:P44"/>
    <mergeCell ref="AE42:AG42"/>
    <mergeCell ref="B43:D43"/>
    <mergeCell ref="E43:I43"/>
    <mergeCell ref="J43:M43"/>
    <mergeCell ref="N43:P43"/>
    <mergeCell ref="Q43:R43"/>
    <mergeCell ref="S43:V43"/>
    <mergeCell ref="X43:AA43"/>
    <mergeCell ref="AB43:AD43"/>
    <mergeCell ref="AE43:AG43"/>
    <mergeCell ref="Q42:R42"/>
    <mergeCell ref="S42:V42"/>
    <mergeCell ref="X42:AA42"/>
    <mergeCell ref="AB42:AD42"/>
    <mergeCell ref="B42:D42"/>
    <mergeCell ref="E42:I42"/>
    <mergeCell ref="J42:M42"/>
    <mergeCell ref="N42:P42"/>
    <mergeCell ref="AE40:AG40"/>
    <mergeCell ref="B41:D41"/>
    <mergeCell ref="E41:I41"/>
    <mergeCell ref="J41:M41"/>
    <mergeCell ref="N41:P41"/>
    <mergeCell ref="Q41:R41"/>
    <mergeCell ref="S41:V41"/>
    <mergeCell ref="X41:AA41"/>
    <mergeCell ref="AB41:AD41"/>
    <mergeCell ref="AE41:AG41"/>
    <mergeCell ref="Q40:R40"/>
    <mergeCell ref="S40:V40"/>
    <mergeCell ref="X40:AA40"/>
    <mergeCell ref="AB40:AD40"/>
    <mergeCell ref="B40:D40"/>
    <mergeCell ref="E40:I40"/>
    <mergeCell ref="J40:M40"/>
    <mergeCell ref="N40:P40"/>
    <mergeCell ref="AE38:AG38"/>
    <mergeCell ref="B39:D39"/>
    <mergeCell ref="E39:I39"/>
    <mergeCell ref="J39:M39"/>
    <mergeCell ref="N39:P39"/>
    <mergeCell ref="Q39:R39"/>
    <mergeCell ref="S39:V39"/>
    <mergeCell ref="X39:AA39"/>
    <mergeCell ref="AB39:AD39"/>
    <mergeCell ref="AE39:AG39"/>
    <mergeCell ref="Q38:R38"/>
    <mergeCell ref="S38:V38"/>
    <mergeCell ref="X38:AA38"/>
    <mergeCell ref="AB38:AD38"/>
    <mergeCell ref="B38:D38"/>
    <mergeCell ref="E38:I38"/>
    <mergeCell ref="J38:M38"/>
    <mergeCell ref="N38:P38"/>
    <mergeCell ref="AE36:AG36"/>
    <mergeCell ref="B37:D37"/>
    <mergeCell ref="E37:I37"/>
    <mergeCell ref="J37:M37"/>
    <mergeCell ref="N37:P37"/>
    <mergeCell ref="Q37:R37"/>
    <mergeCell ref="S37:V37"/>
    <mergeCell ref="X37:AA37"/>
    <mergeCell ref="AB37:AD37"/>
    <mergeCell ref="AE37:AG37"/>
    <mergeCell ref="Q36:R36"/>
    <mergeCell ref="S36:V36"/>
    <mergeCell ref="X36:AA36"/>
    <mergeCell ref="AB36:AD36"/>
    <mergeCell ref="B36:D36"/>
    <mergeCell ref="E36:I36"/>
    <mergeCell ref="J36:M36"/>
    <mergeCell ref="N36:P36"/>
    <mergeCell ref="AE34:AG34"/>
    <mergeCell ref="B35:D35"/>
    <mergeCell ref="E35:I35"/>
    <mergeCell ref="J35:M35"/>
    <mergeCell ref="N35:P35"/>
    <mergeCell ref="Q35:R35"/>
    <mergeCell ref="S35:V35"/>
    <mergeCell ref="X35:AA35"/>
    <mergeCell ref="AB35:AD35"/>
    <mergeCell ref="AE35:AG35"/>
    <mergeCell ref="Q34:R34"/>
    <mergeCell ref="S34:V34"/>
    <mergeCell ref="X34:AA34"/>
    <mergeCell ref="AB34:AD34"/>
    <mergeCell ref="B34:D34"/>
    <mergeCell ref="E34:I34"/>
    <mergeCell ref="J34:M34"/>
    <mergeCell ref="N34:P34"/>
    <mergeCell ref="AE32:AG32"/>
    <mergeCell ref="B33:D33"/>
    <mergeCell ref="E33:I33"/>
    <mergeCell ref="J33:M33"/>
    <mergeCell ref="N33:P33"/>
    <mergeCell ref="Q33:R33"/>
    <mergeCell ref="S33:V33"/>
    <mergeCell ref="X33:AA33"/>
    <mergeCell ref="AB33:AD33"/>
    <mergeCell ref="AE33:AG33"/>
    <mergeCell ref="Q32:R32"/>
    <mergeCell ref="S32:V32"/>
    <mergeCell ref="X32:AA32"/>
    <mergeCell ref="AB32:AD32"/>
    <mergeCell ref="B32:D32"/>
    <mergeCell ref="E32:I32"/>
    <mergeCell ref="J32:M32"/>
    <mergeCell ref="N32:P32"/>
    <mergeCell ref="AE30:AG30"/>
    <mergeCell ref="B31:D31"/>
    <mergeCell ref="E31:I31"/>
    <mergeCell ref="J31:M31"/>
    <mergeCell ref="N31:P31"/>
    <mergeCell ref="Q31:R31"/>
    <mergeCell ref="S31:V31"/>
    <mergeCell ref="X31:AA31"/>
    <mergeCell ref="AB31:AD31"/>
    <mergeCell ref="AE31:AG31"/>
    <mergeCell ref="Q30:R30"/>
    <mergeCell ref="S30:V30"/>
    <mergeCell ref="X30:AA30"/>
    <mergeCell ref="AB30:AD30"/>
    <mergeCell ref="B30:D30"/>
    <mergeCell ref="E30:I30"/>
    <mergeCell ref="J30:M30"/>
    <mergeCell ref="N30:P30"/>
    <mergeCell ref="AE28:AG28"/>
    <mergeCell ref="B29:D29"/>
    <mergeCell ref="E29:I29"/>
    <mergeCell ref="J29:M29"/>
    <mergeCell ref="N29:P29"/>
    <mergeCell ref="Q29:R29"/>
    <mergeCell ref="S29:V29"/>
    <mergeCell ref="X29:AA29"/>
    <mergeCell ref="AB29:AD29"/>
    <mergeCell ref="AE29:AG29"/>
    <mergeCell ref="Q28:R28"/>
    <mergeCell ref="S28:V28"/>
    <mergeCell ref="X28:AA28"/>
    <mergeCell ref="AB28:AD28"/>
    <mergeCell ref="B28:D28"/>
    <mergeCell ref="E28:I28"/>
    <mergeCell ref="J28:M28"/>
    <mergeCell ref="N28:P28"/>
    <mergeCell ref="AE26:AG26"/>
    <mergeCell ref="B27:D27"/>
    <mergeCell ref="E27:I27"/>
    <mergeCell ref="J27:M27"/>
    <mergeCell ref="N27:P27"/>
    <mergeCell ref="Q27:R27"/>
    <mergeCell ref="S27:V27"/>
    <mergeCell ref="X27:AA27"/>
    <mergeCell ref="AB27:AD27"/>
    <mergeCell ref="AE27:AG27"/>
    <mergeCell ref="Q26:R26"/>
    <mergeCell ref="S26:V26"/>
    <mergeCell ref="X26:AA26"/>
    <mergeCell ref="AB26:AD26"/>
    <mergeCell ref="B26:D26"/>
    <mergeCell ref="E26:I26"/>
    <mergeCell ref="J26:M26"/>
    <mergeCell ref="N26:P26"/>
    <mergeCell ref="AE24:AG24"/>
    <mergeCell ref="B25:D25"/>
    <mergeCell ref="E25:I25"/>
    <mergeCell ref="J25:M25"/>
    <mergeCell ref="N25:P25"/>
    <mergeCell ref="Q25:R25"/>
    <mergeCell ref="S25:V25"/>
    <mergeCell ref="X25:AA25"/>
    <mergeCell ref="AB25:AD25"/>
    <mergeCell ref="AE25:AG25"/>
    <mergeCell ref="Q24:R24"/>
    <mergeCell ref="S24:V24"/>
    <mergeCell ref="X24:AA24"/>
    <mergeCell ref="AB24:AD24"/>
    <mergeCell ref="B24:D24"/>
    <mergeCell ref="E24:I24"/>
    <mergeCell ref="J24:M24"/>
    <mergeCell ref="N24:P24"/>
    <mergeCell ref="AE22:AG22"/>
    <mergeCell ref="B23:D23"/>
    <mergeCell ref="E23:I23"/>
    <mergeCell ref="J23:M23"/>
    <mergeCell ref="N23:P23"/>
    <mergeCell ref="Q23:R23"/>
    <mergeCell ref="S23:V23"/>
    <mergeCell ref="X23:AA23"/>
    <mergeCell ref="AB23:AD23"/>
    <mergeCell ref="AE23:AG23"/>
    <mergeCell ref="Q22:R22"/>
    <mergeCell ref="S22:V22"/>
    <mergeCell ref="X22:AA22"/>
    <mergeCell ref="AB22:AD22"/>
    <mergeCell ref="B22:D22"/>
    <mergeCell ref="E22:I22"/>
    <mergeCell ref="J22:M22"/>
    <mergeCell ref="N22:P22"/>
    <mergeCell ref="AE20:AG20"/>
    <mergeCell ref="B21:D21"/>
    <mergeCell ref="E21:I21"/>
    <mergeCell ref="J21:M21"/>
    <mergeCell ref="N21:P21"/>
    <mergeCell ref="Q21:R21"/>
    <mergeCell ref="S21:V21"/>
    <mergeCell ref="X21:AA21"/>
    <mergeCell ref="AB21:AD21"/>
    <mergeCell ref="AE21:AG21"/>
    <mergeCell ref="Q20:R20"/>
    <mergeCell ref="S20:V20"/>
    <mergeCell ref="X20:AA20"/>
    <mergeCell ref="AB20:AD20"/>
    <mergeCell ref="B20:D20"/>
    <mergeCell ref="E20:I20"/>
    <mergeCell ref="J20:M20"/>
    <mergeCell ref="N20:P20"/>
    <mergeCell ref="AE18:AG18"/>
    <mergeCell ref="B19:D19"/>
    <mergeCell ref="E19:I19"/>
    <mergeCell ref="J19:M19"/>
    <mergeCell ref="N19:P19"/>
    <mergeCell ref="Q19:R19"/>
    <mergeCell ref="S19:V19"/>
    <mergeCell ref="X19:AA19"/>
    <mergeCell ref="AB19:AD19"/>
    <mergeCell ref="AE19:AG19"/>
    <mergeCell ref="Q18:R18"/>
    <mergeCell ref="S18:V18"/>
    <mergeCell ref="X18:AA18"/>
    <mergeCell ref="AB18:AD18"/>
    <mergeCell ref="B18:D18"/>
    <mergeCell ref="E18:I18"/>
    <mergeCell ref="J18:M18"/>
    <mergeCell ref="N18:P18"/>
    <mergeCell ref="AE16:AG16"/>
    <mergeCell ref="B17:D17"/>
    <mergeCell ref="E17:I17"/>
    <mergeCell ref="J17:M17"/>
    <mergeCell ref="N17:P17"/>
    <mergeCell ref="Q17:R17"/>
    <mergeCell ref="S17:V17"/>
    <mergeCell ref="X17:AA17"/>
    <mergeCell ref="AB17:AD17"/>
    <mergeCell ref="AE17:AG17"/>
    <mergeCell ref="AB15:AD15"/>
    <mergeCell ref="AE15:AG15"/>
    <mergeCell ref="B16:D16"/>
    <mergeCell ref="E16:I16"/>
    <mergeCell ref="J16:M16"/>
    <mergeCell ref="N16:P16"/>
    <mergeCell ref="Q16:R16"/>
    <mergeCell ref="S16:V16"/>
    <mergeCell ref="X16:AA16"/>
    <mergeCell ref="AB16:AD16"/>
    <mergeCell ref="AB12:AG12"/>
    <mergeCell ref="AB13:AD14"/>
    <mergeCell ref="AE13:AG14"/>
    <mergeCell ref="B15:D15"/>
    <mergeCell ref="E15:I15"/>
    <mergeCell ref="J15:M15"/>
    <mergeCell ref="N15:P15"/>
    <mergeCell ref="Q15:R15"/>
    <mergeCell ref="S15:V15"/>
    <mergeCell ref="X15:AA15"/>
    <mergeCell ref="Q12:AA12"/>
    <mergeCell ref="Q13:V13"/>
    <mergeCell ref="Q14:R14"/>
    <mergeCell ref="S14:V14"/>
    <mergeCell ref="W13:AA13"/>
    <mergeCell ref="X14:AA14"/>
    <mergeCell ref="A10:B10"/>
    <mergeCell ref="C10:AG10"/>
    <mergeCell ref="A11:AG11"/>
    <mergeCell ref="A12:A14"/>
    <mergeCell ref="B12:I12"/>
    <mergeCell ref="B13:D14"/>
    <mergeCell ref="E13:I14"/>
    <mergeCell ref="J12:P12"/>
    <mergeCell ref="J13:M14"/>
    <mergeCell ref="N13:P14"/>
    <mergeCell ref="A9:G9"/>
    <mergeCell ref="H9:Z9"/>
    <mergeCell ref="AA9:AB9"/>
    <mergeCell ref="AC9:AG9"/>
    <mergeCell ref="A8:G8"/>
    <mergeCell ref="H8:Z8"/>
    <mergeCell ref="AA8:AB8"/>
    <mergeCell ref="AC8:AG8"/>
    <mergeCell ref="A7:H7"/>
    <mergeCell ref="I7:Z7"/>
    <mergeCell ref="AA7:AB7"/>
    <mergeCell ref="AC7:AG7"/>
    <mergeCell ref="A5:AC5"/>
    <mergeCell ref="AD5:AG5"/>
    <mergeCell ref="A6:Z6"/>
    <mergeCell ref="AA6:AB6"/>
    <mergeCell ref="AC6:AG6"/>
    <mergeCell ref="A1:AG1"/>
    <mergeCell ref="A2:AG2"/>
    <mergeCell ref="A3:AG3"/>
    <mergeCell ref="A4:AF4"/>
  </mergeCells>
  <printOptions/>
  <pageMargins left="0.3937007874015748" right="0" top="0.5905511811023622" bottom="0" header="0.5" footer="0.5"/>
  <pageSetup orientation="portrait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dcterms:created xsi:type="dcterms:W3CDTF">2012-04-19T08:21:27Z</dcterms:created>
  <dcterms:modified xsi:type="dcterms:W3CDTF">2012-04-19T08:21:27Z</dcterms:modified>
  <cp:category/>
  <cp:version/>
  <cp:contentType/>
  <cp:contentStatus/>
</cp:coreProperties>
</file>